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8705"/>
  <workbookPr autoCompressPictures="0"/>
  <workbookProtection workbookPassword="DF1D" lockStructure="1"/>
  <bookViews>
    <workbookView xWindow="0" yWindow="0" windowWidth="25600" windowHeight="14580"/>
  </bookViews>
  <sheets>
    <sheet name="Tilapia Akvaponi" sheetId="1" r:id="rId1"/>
    <sheet name="Clarias Akvaponi" sheetId="2" r:id="rId2"/>
    <sheet name="RFKL Regnbåge" sheetId="3" r:id="rId3"/>
    <sheet name="RFKL Clarias" sheetId="4" r:id="rId4"/>
    <sheet name="RFKL Tilapia" sheetId="5" r:id="rId5"/>
    <sheet name="RFKL Förklaring" sheetId="7" r:id="rId6"/>
    <sheet name="RFKL Gör-det-själv" sheetId="6" r:id="rId7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6" l="1"/>
  <c r="G39" i="5"/>
  <c r="D39" i="5"/>
  <c r="J40" i="4"/>
  <c r="G40" i="4"/>
  <c r="D40" i="4"/>
  <c r="J40" i="3"/>
  <c r="G40" i="3"/>
  <c r="D40" i="3"/>
  <c r="C19" i="3"/>
  <c r="C20" i="3"/>
  <c r="C21" i="3"/>
  <c r="C22" i="3"/>
  <c r="C23" i="3"/>
  <c r="C25" i="3"/>
  <c r="C26" i="3"/>
  <c r="C27" i="3"/>
  <c r="C28" i="3"/>
  <c r="C30" i="3"/>
  <c r="C32" i="3"/>
  <c r="C34" i="3"/>
  <c r="F29" i="6"/>
  <c r="F7" i="6"/>
  <c r="G28" i="6"/>
  <c r="G26" i="6"/>
  <c r="G24" i="6"/>
  <c r="G22" i="6"/>
  <c r="G20" i="6"/>
  <c r="G18" i="6"/>
  <c r="G16" i="6"/>
  <c r="J8" i="6"/>
  <c r="J9" i="6"/>
  <c r="J10" i="6"/>
  <c r="J11" i="6"/>
  <c r="F8" i="6"/>
  <c r="F10" i="6"/>
  <c r="G27" i="6"/>
  <c r="C7" i="6"/>
  <c r="D27" i="6"/>
  <c r="F11" i="6"/>
  <c r="G11" i="6"/>
  <c r="G10" i="6"/>
  <c r="F12" i="6"/>
  <c r="F9" i="6"/>
  <c r="G9" i="6"/>
  <c r="C8" i="6"/>
  <c r="D16" i="6"/>
  <c r="D18" i="6"/>
  <c r="D20" i="6"/>
  <c r="D22" i="6"/>
  <c r="D24" i="6"/>
  <c r="D26" i="6"/>
  <c r="D28" i="6"/>
  <c r="F30" i="6"/>
  <c r="D15" i="6"/>
  <c r="D17" i="6"/>
  <c r="D19" i="6"/>
  <c r="D21" i="6"/>
  <c r="D23" i="6"/>
  <c r="D25" i="6"/>
  <c r="G15" i="6"/>
  <c r="G17" i="6"/>
  <c r="G19" i="6"/>
  <c r="G21" i="6"/>
  <c r="G23" i="6"/>
  <c r="G25" i="6"/>
  <c r="G29" i="6"/>
  <c r="F31" i="6"/>
  <c r="F33" i="6"/>
  <c r="G33" i="6"/>
  <c r="D29" i="6"/>
  <c r="G12" i="6"/>
  <c r="G30" i="6"/>
  <c r="G31" i="6"/>
  <c r="G35" i="6"/>
  <c r="C10" i="6"/>
  <c r="C9" i="6"/>
  <c r="D9" i="6"/>
  <c r="D30" i="6"/>
  <c r="C11" i="6"/>
  <c r="D11" i="6"/>
  <c r="D10" i="6"/>
  <c r="C12" i="6"/>
  <c r="D12" i="6"/>
  <c r="C31" i="6"/>
  <c r="C33" i="6"/>
  <c r="D31" i="6"/>
  <c r="F31" i="5"/>
  <c r="F11" i="5"/>
  <c r="G31" i="5"/>
  <c r="C31" i="5"/>
  <c r="C11" i="5"/>
  <c r="D31" i="5"/>
  <c r="F29" i="5"/>
  <c r="F19" i="5"/>
  <c r="F20" i="5"/>
  <c r="F21" i="5"/>
  <c r="F22" i="5"/>
  <c r="F23" i="5"/>
  <c r="F24" i="5"/>
  <c r="F25" i="5"/>
  <c r="F26" i="5"/>
  <c r="F27" i="5"/>
  <c r="F33" i="5"/>
  <c r="C29" i="5"/>
  <c r="D29" i="5"/>
  <c r="G27" i="5"/>
  <c r="C27" i="5"/>
  <c r="D27" i="5"/>
  <c r="G26" i="5"/>
  <c r="C26" i="5"/>
  <c r="D26" i="5"/>
  <c r="G25" i="5"/>
  <c r="C25" i="5"/>
  <c r="D25" i="5"/>
  <c r="G24" i="5"/>
  <c r="C24" i="5"/>
  <c r="D24" i="5"/>
  <c r="G23" i="5"/>
  <c r="C23" i="5"/>
  <c r="D23" i="5"/>
  <c r="G22" i="5"/>
  <c r="C22" i="5"/>
  <c r="D22" i="5"/>
  <c r="G21" i="5"/>
  <c r="C21" i="5"/>
  <c r="D21" i="5"/>
  <c r="G20" i="5"/>
  <c r="C20" i="5"/>
  <c r="D20" i="5"/>
  <c r="G19" i="5"/>
  <c r="C19" i="5"/>
  <c r="C33" i="5"/>
  <c r="J15" i="5"/>
  <c r="J14" i="5"/>
  <c r="J13" i="5"/>
  <c r="J16" i="5"/>
  <c r="G30" i="5"/>
  <c r="D32" i="5"/>
  <c r="J33" i="4"/>
  <c r="C11" i="4"/>
  <c r="D33" i="4"/>
  <c r="I32" i="4"/>
  <c r="J32" i="4"/>
  <c r="F32" i="4"/>
  <c r="F11" i="4"/>
  <c r="G32" i="4"/>
  <c r="C32" i="4"/>
  <c r="D32" i="4"/>
  <c r="J31" i="4"/>
  <c r="G31" i="4"/>
  <c r="I30" i="4"/>
  <c r="J30" i="4"/>
  <c r="F30" i="4"/>
  <c r="G30" i="4"/>
  <c r="C30" i="4"/>
  <c r="J29" i="4"/>
  <c r="I28" i="4"/>
  <c r="J28" i="4"/>
  <c r="F28" i="4"/>
  <c r="G28" i="4"/>
  <c r="C28" i="4"/>
  <c r="D28" i="4"/>
  <c r="I27" i="4"/>
  <c r="J27" i="4"/>
  <c r="F27" i="4"/>
  <c r="G27" i="4"/>
  <c r="C27" i="4"/>
  <c r="D27" i="4"/>
  <c r="J26" i="4"/>
  <c r="G26" i="4"/>
  <c r="I25" i="4"/>
  <c r="J25" i="4"/>
  <c r="F25" i="4"/>
  <c r="G25" i="4"/>
  <c r="C25" i="4"/>
  <c r="I24" i="4"/>
  <c r="J24" i="4"/>
  <c r="I23" i="4"/>
  <c r="J23" i="4"/>
  <c r="F23" i="4"/>
  <c r="C23" i="4"/>
  <c r="D23" i="4"/>
  <c r="I22" i="4"/>
  <c r="J22" i="4"/>
  <c r="F22" i="4"/>
  <c r="G22" i="4"/>
  <c r="C22" i="4"/>
  <c r="I21" i="4"/>
  <c r="J21" i="4"/>
  <c r="F21" i="4"/>
  <c r="C21" i="4"/>
  <c r="D21" i="4"/>
  <c r="I20" i="4"/>
  <c r="J20" i="4"/>
  <c r="F20" i="4"/>
  <c r="G20" i="4"/>
  <c r="C20" i="4"/>
  <c r="I19" i="4"/>
  <c r="J19" i="4"/>
  <c r="I34" i="4"/>
  <c r="F19" i="4"/>
  <c r="F34" i="4"/>
  <c r="C19" i="4"/>
  <c r="D19" i="4"/>
  <c r="C34" i="4"/>
  <c r="Q15" i="4"/>
  <c r="Q14" i="4"/>
  <c r="Q13" i="4"/>
  <c r="Q12" i="4"/>
  <c r="Q16" i="4"/>
  <c r="I12" i="4"/>
  <c r="F12" i="4"/>
  <c r="F14" i="4"/>
  <c r="G29" i="4"/>
  <c r="D31" i="4"/>
  <c r="I32" i="3"/>
  <c r="I11" i="3"/>
  <c r="J32" i="3"/>
  <c r="F32" i="3"/>
  <c r="I30" i="3"/>
  <c r="F30" i="3"/>
  <c r="F11" i="3"/>
  <c r="G30" i="3"/>
  <c r="G29" i="3"/>
  <c r="I28" i="3"/>
  <c r="F28" i="3"/>
  <c r="G28" i="3"/>
  <c r="I27" i="3"/>
  <c r="J27" i="3"/>
  <c r="F27" i="3"/>
  <c r="I26" i="3"/>
  <c r="F26" i="3"/>
  <c r="G26" i="3"/>
  <c r="I25" i="3"/>
  <c r="J25" i="3"/>
  <c r="F25" i="3"/>
  <c r="G24" i="3"/>
  <c r="F23" i="3"/>
  <c r="G23" i="3"/>
  <c r="I22" i="3"/>
  <c r="J22" i="3"/>
  <c r="F22" i="3"/>
  <c r="C11" i="3"/>
  <c r="D22" i="3"/>
  <c r="I21" i="3"/>
  <c r="F21" i="3"/>
  <c r="G21" i="3"/>
  <c r="I20" i="3"/>
  <c r="J20" i="3"/>
  <c r="F20" i="3"/>
  <c r="G20" i="3"/>
  <c r="D20" i="3"/>
  <c r="I19" i="3"/>
  <c r="J19" i="3"/>
  <c r="F19" i="3"/>
  <c r="F34" i="3"/>
  <c r="M14" i="3"/>
  <c r="M12" i="3"/>
  <c r="M13" i="3"/>
  <c r="M15" i="3"/>
  <c r="F12" i="3"/>
  <c r="J33" i="3"/>
  <c r="G22" i="3"/>
  <c r="D30" i="3"/>
  <c r="D33" i="6"/>
  <c r="F34" i="5"/>
  <c r="D28" i="5"/>
  <c r="D19" i="5"/>
  <c r="G28" i="5"/>
  <c r="G29" i="5"/>
  <c r="G32" i="5"/>
  <c r="G33" i="5"/>
  <c r="C12" i="5"/>
  <c r="D30" i="5"/>
  <c r="F12" i="5"/>
  <c r="F35" i="4"/>
  <c r="J34" i="4"/>
  <c r="I35" i="4"/>
  <c r="J35" i="4"/>
  <c r="F15" i="4"/>
  <c r="G15" i="4"/>
  <c r="G14" i="4"/>
  <c r="F13" i="4"/>
  <c r="G13" i="4"/>
  <c r="D24" i="4"/>
  <c r="G33" i="4"/>
  <c r="I14" i="4"/>
  <c r="I13" i="4"/>
  <c r="J13" i="4"/>
  <c r="G19" i="4"/>
  <c r="D20" i="4"/>
  <c r="D22" i="4"/>
  <c r="D25" i="4"/>
  <c r="D26" i="4"/>
  <c r="D29" i="4"/>
  <c r="D30" i="4"/>
  <c r="D34" i="4"/>
  <c r="G21" i="4"/>
  <c r="G23" i="4"/>
  <c r="G24" i="4"/>
  <c r="C12" i="4"/>
  <c r="F35" i="3"/>
  <c r="F14" i="3"/>
  <c r="D31" i="3"/>
  <c r="D32" i="3"/>
  <c r="I24" i="3"/>
  <c r="I34" i="3"/>
  <c r="I12" i="3"/>
  <c r="G19" i="3"/>
  <c r="J24" i="3"/>
  <c r="J29" i="3"/>
  <c r="G31" i="3"/>
  <c r="D33" i="3"/>
  <c r="J23" i="3"/>
  <c r="G25" i="3"/>
  <c r="D26" i="3"/>
  <c r="J26" i="3"/>
  <c r="G27" i="3"/>
  <c r="D28" i="3"/>
  <c r="J28" i="3"/>
  <c r="J31" i="3"/>
  <c r="G32" i="3"/>
  <c r="G33" i="3"/>
  <c r="D25" i="3"/>
  <c r="D27" i="3"/>
  <c r="C12" i="3"/>
  <c r="D19" i="3"/>
  <c r="D21" i="3"/>
  <c r="J21" i="3"/>
  <c r="D23" i="3"/>
  <c r="D24" i="3"/>
  <c r="D29" i="3"/>
  <c r="J30" i="3"/>
  <c r="G34" i="5"/>
  <c r="C14" i="5"/>
  <c r="D33" i="5"/>
  <c r="F14" i="5"/>
  <c r="D35" i="4"/>
  <c r="C14" i="4"/>
  <c r="J14" i="4"/>
  <c r="I15" i="4"/>
  <c r="J15" i="4"/>
  <c r="G34" i="4"/>
  <c r="F16" i="4"/>
  <c r="D34" i="3"/>
  <c r="F15" i="3"/>
  <c r="G15" i="3"/>
  <c r="F16" i="3"/>
  <c r="G14" i="3"/>
  <c r="C14" i="3"/>
  <c r="C13" i="3"/>
  <c r="D13" i="3"/>
  <c r="F13" i="3"/>
  <c r="G13" i="3"/>
  <c r="I35" i="3"/>
  <c r="J35" i="3"/>
  <c r="J34" i="3"/>
  <c r="G34" i="3"/>
  <c r="I14" i="3"/>
  <c r="D34" i="5"/>
  <c r="G14" i="5"/>
  <c r="F15" i="5"/>
  <c r="G15" i="5"/>
  <c r="C15" i="5"/>
  <c r="D15" i="5"/>
  <c r="D14" i="5"/>
  <c r="F13" i="5"/>
  <c r="G13" i="5"/>
  <c r="C13" i="5"/>
  <c r="D13" i="5"/>
  <c r="G16" i="4"/>
  <c r="F36" i="4"/>
  <c r="F38" i="4"/>
  <c r="G35" i="4"/>
  <c r="D14" i="4"/>
  <c r="C15" i="4"/>
  <c r="C16" i="4"/>
  <c r="D15" i="4"/>
  <c r="I16" i="4"/>
  <c r="C13" i="4"/>
  <c r="D13" i="4"/>
  <c r="J14" i="3"/>
  <c r="I15" i="3"/>
  <c r="I16" i="3"/>
  <c r="J15" i="3"/>
  <c r="G16" i="3"/>
  <c r="F36" i="3"/>
  <c r="F38" i="3"/>
  <c r="I13" i="3"/>
  <c r="J13" i="3"/>
  <c r="D14" i="3"/>
  <c r="C15" i="3"/>
  <c r="D15" i="3"/>
  <c r="G35" i="3"/>
  <c r="D35" i="3"/>
  <c r="C16" i="5"/>
  <c r="F16" i="5"/>
  <c r="J16" i="4"/>
  <c r="G36" i="4"/>
  <c r="C36" i="4"/>
  <c r="C38" i="4"/>
  <c r="D16" i="4"/>
  <c r="G36" i="3"/>
  <c r="C16" i="3"/>
  <c r="J16" i="3"/>
  <c r="G16" i="5"/>
  <c r="F35" i="5"/>
  <c r="F37" i="5"/>
  <c r="D16" i="5"/>
  <c r="C35" i="5"/>
  <c r="C37" i="5"/>
  <c r="G38" i="4"/>
  <c r="I36" i="4"/>
  <c r="D36" i="4"/>
  <c r="D16" i="3"/>
  <c r="C36" i="3"/>
  <c r="C38" i="3"/>
  <c r="I36" i="3"/>
  <c r="G38" i="3"/>
  <c r="D35" i="5"/>
  <c r="G35" i="5"/>
  <c r="J36" i="4"/>
  <c r="I38" i="4"/>
  <c r="J38" i="4"/>
  <c r="D38" i="4"/>
  <c r="D36" i="3"/>
  <c r="J36" i="3"/>
  <c r="I38" i="3"/>
  <c r="G37" i="5"/>
  <c r="D37" i="5"/>
  <c r="J38" i="3"/>
  <c r="D38" i="3"/>
  <c r="G15" i="1"/>
  <c r="C12" i="1"/>
  <c r="C14" i="1"/>
  <c r="C16" i="1"/>
  <c r="C30" i="1"/>
  <c r="C32" i="1"/>
</calcChain>
</file>

<file path=xl/sharedStrings.xml><?xml version="1.0" encoding="utf-8"?>
<sst xmlns="http://schemas.openxmlformats.org/spreadsheetml/2006/main" count="407" uniqueCount="179">
  <si>
    <t>Intäkter</t>
  </si>
  <si>
    <t>Renoveringskostnader</t>
  </si>
  <si>
    <t>Totalt</t>
  </si>
  <si>
    <t>Kostnader</t>
  </si>
  <si>
    <t>SEK totalt</t>
  </si>
  <si>
    <t>Frakt</t>
  </si>
  <si>
    <t xml:space="preserve">Foder </t>
  </si>
  <si>
    <t>El</t>
  </si>
  <si>
    <t>Avskrivningar &amp; Räntor</t>
  </si>
  <si>
    <t>Underhåll &amp; diverse övriga kostnader</t>
  </si>
  <si>
    <t>Marknadsföring</t>
  </si>
  <si>
    <t>Resultat</t>
  </si>
  <si>
    <t>Personalkostnader</t>
  </si>
  <si>
    <t>Fröer</t>
  </si>
  <si>
    <t>Förpackningar</t>
  </si>
  <si>
    <t>Yngel</t>
  </si>
  <si>
    <t>Försäljning fisk i kg/år</t>
  </si>
  <si>
    <t>Försäljning fisk i SEK/år</t>
  </si>
  <si>
    <t>Försäljning grönsaker i kg/år</t>
  </si>
  <si>
    <t>Försäljning grönsaker i SEK/år</t>
  </si>
  <si>
    <t>Totala intäkter</t>
  </si>
  <si>
    <t>8% av investering och drift</t>
  </si>
  <si>
    <t>Hyra</t>
  </si>
  <si>
    <t xml:space="preserve">Kalkylexemplen är ett fiktivt räkneexempel. </t>
  </si>
  <si>
    <t>Regionförbundet och Refarm tar inte något ansvar för hur det blir för den enskilde företagaren, utan varje företagare måste göra en egen kalkyl utifrån sina specifika förutsättningar.</t>
  </si>
  <si>
    <t>Maskinutrustning fisk</t>
  </si>
  <si>
    <t>Maskinutrustning grönsaker</t>
  </si>
  <si>
    <t>Installation</t>
  </si>
  <si>
    <t>Exempel på tilapia akvaponi med ca 25 tons fiskproduktion och ca 150 ton grönsaker per år</t>
  </si>
  <si>
    <t>Investeringskostnader</t>
  </si>
  <si>
    <t>SEK helfisk/grönsaker</t>
  </si>
  <si>
    <t>Maskinutrustning Small</t>
  </si>
  <si>
    <t>Maskinutrustning Medium</t>
  </si>
  <si>
    <t>Maskinutrustning Large</t>
  </si>
  <si>
    <t>Intäkter Small</t>
  </si>
  <si>
    <t>Försäljning fisk i kg/år Filé</t>
  </si>
  <si>
    <t>Intäkter Medium</t>
  </si>
  <si>
    <t>Intäkter Large</t>
  </si>
  <si>
    <t>Storlek</t>
  </si>
  <si>
    <t>240 m2</t>
  </si>
  <si>
    <t>240 m2 + 600 m2 tak</t>
  </si>
  <si>
    <t>1080 m2</t>
  </si>
  <si>
    <t>Exempel på clarias akvaponi i tre olika storlekar</t>
  </si>
  <si>
    <t>Exempel på 40 tons foder anläggning av Regnbåge</t>
  </si>
  <si>
    <t>Produktionsyta inkl. rening av vatten ca 1100m2</t>
  </si>
  <si>
    <t>SEK helfisk</t>
  </si>
  <si>
    <t>SEK/kg</t>
  </si>
  <si>
    <t>SEK totalt filé</t>
  </si>
  <si>
    <t>SEK/kg filé</t>
  </si>
  <si>
    <t>SEK totalt rökt</t>
  </si>
  <si>
    <t>SEK/kg rökt</t>
  </si>
  <si>
    <t>Våra exempel (dagsfärska, varierar med odlaren)</t>
  </si>
  <si>
    <t>Avskrivningar, Räntor &amp; Amortering</t>
  </si>
  <si>
    <t>Producerad levande vikt kg/år</t>
  </si>
  <si>
    <t>Foderkonvertering 1,1</t>
  </si>
  <si>
    <t>Fastighetskostnader</t>
  </si>
  <si>
    <t>Svinn slakt/filé inkl. dödlighet</t>
  </si>
  <si>
    <t>Dödlinghet 1% av slutvikten</t>
  </si>
  <si>
    <t>Urtagen vikt</t>
  </si>
  <si>
    <t>Maskinutrustning</t>
  </si>
  <si>
    <t>Konsumentpris</t>
  </si>
  <si>
    <t>Avskrivningstid maskinutrustning 15 år</t>
  </si>
  <si>
    <t>Moms</t>
  </si>
  <si>
    <t>Moms på livsmedel</t>
  </si>
  <si>
    <t>Ränta 4%</t>
  </si>
  <si>
    <t>Kons.pris exkl. moms</t>
  </si>
  <si>
    <t>Avskrivningstid renovering fastighet 15 år</t>
  </si>
  <si>
    <t>Butiksmarginal</t>
  </si>
  <si>
    <t>Förväntad butiksmarginal</t>
  </si>
  <si>
    <t>Pris  till butik</t>
  </si>
  <si>
    <t>( 40 kr/mil*10 mil/resa och ca 500 kg/leveranstillfälle, större volymer vid rökning)</t>
  </si>
  <si>
    <t>Yngel 3,50 kr/st (10 gram)</t>
  </si>
  <si>
    <t>( 10% överinsättning för komp dödlighet). Frakt 150sek/mil, till Klavreström/Viserum är det ca 10 mil till Kalmar C enkel väg, man betalar t/r så 20 mil per insättning(två ggr/år).</t>
  </si>
  <si>
    <t>Daglig tillsyn &amp; skötsel</t>
  </si>
  <si>
    <t xml:space="preserve"> 2 tim/dag á 235SEK/h</t>
  </si>
  <si>
    <t>Slakt &amp; urtagning</t>
  </si>
  <si>
    <t xml:space="preserve"> 1 tim/dag á 235SEK/h</t>
  </si>
  <si>
    <t>Filletering</t>
  </si>
  <si>
    <t>1 tim/dag á 235SEK/h</t>
  </si>
  <si>
    <t>Rökning</t>
  </si>
  <si>
    <t>Inklusive huvud</t>
  </si>
  <si>
    <t>13 kr/kg</t>
  </si>
  <si>
    <t>Syre</t>
  </si>
  <si>
    <t>1,85 kr/kg</t>
  </si>
  <si>
    <t>Bikarbonat</t>
  </si>
  <si>
    <t>3,20 kr/kg</t>
  </si>
  <si>
    <t>1791 kr per månad i nätavgift, 19,20 öre/kWh elnätsavgift,  65 öre/kWh elpris, 33,20 öre/kWh skatt</t>
  </si>
  <si>
    <t>Vatten</t>
  </si>
  <si>
    <t>Underhåll för eget vatten (2500 m3 per år)</t>
  </si>
  <si>
    <t>Myndighetskostnader</t>
  </si>
  <si>
    <t>3000 kr vartannat år för veterinärbesök(1500 kr årligen) för riskklassificering av Jordbruksverket, Miljötillsyn av kommunen 3620 kr/år (denna siffran kan variera mellan kommuner), Livsmedelsklassad byggnad (för slakt och beredning) ca 12500 kr/år. Fler kostnader kan tillkomma på denna post</t>
  </si>
  <si>
    <t>Försäkring</t>
  </si>
  <si>
    <t>Försäkring av maskinutrustning, ej fisk. Prisuppgift från Länsförsäkringar Skåne</t>
  </si>
  <si>
    <t>Avfallskostnad</t>
  </si>
  <si>
    <t>5760 kg</t>
  </si>
  <si>
    <t>20880 kg</t>
  </si>
  <si>
    <t>Stopkostnad = 536 kr, kg pris = 3,49 kr/kg, Svensk Lantbruksservice. Kostnader gäller Kalmar och kan variera beroende på geografi. Vid fryskapacitet på drygt 1 ton.</t>
  </si>
  <si>
    <t>Totala kostnader exkl. underhåll &amp; övrigt</t>
  </si>
  <si>
    <t>Exempel på 40 tons foder anläggning av Clarias</t>
  </si>
  <si>
    <t>Produktionsyta inkl. rening av vatten ca 300m2</t>
  </si>
  <si>
    <t>Foderkonvertering 1,8</t>
  </si>
  <si>
    <t>Amortering</t>
  </si>
  <si>
    <t xml:space="preserve">Yngel </t>
  </si>
  <si>
    <t>1,00 kr/st (1 gram). ( 45% överinsättning för komp dödlighet). Ca 28000sek per transport med flyg till Stockholm, tre ggr/år</t>
  </si>
  <si>
    <t>2 tim/dag á 235SEK/h</t>
  </si>
  <si>
    <t>Filletering/röknings förberedelse</t>
  </si>
  <si>
    <t>Exklusive huvud</t>
  </si>
  <si>
    <t>Foder</t>
  </si>
  <si>
    <t>13,0 Kr/kg</t>
  </si>
  <si>
    <t>Eget vatten</t>
  </si>
  <si>
    <t>3750 kg</t>
  </si>
  <si>
    <t>14500 kg</t>
  </si>
  <si>
    <t>14750 kg</t>
  </si>
  <si>
    <t>Avskrivningar &amp; Räntor 4%</t>
  </si>
  <si>
    <t>Exempel på 40 tons foder anläggning av Tilapia</t>
  </si>
  <si>
    <t>Produktionsyta inkl. rening av vatten ca 500m2</t>
  </si>
  <si>
    <t>Regionförbundet tar inte något ansvar för hur det blir för den enskilde företagaren, utan varje företagare måste göra en egen kalkyl utifrån sina specifika förutsättningar.</t>
  </si>
  <si>
    <t>Foderkonvertering 1,4</t>
  </si>
  <si>
    <t>( 40 kr/mil*10 mil/resa och ca 500 kg/leveranstillfälle)</t>
  </si>
  <si>
    <t>2,20 kr/st (0,2 gram). 20% överinsättning för komp dödlighet. Ca 28000sek per transport med flyg till Stockholm, tre ggr/år</t>
  </si>
  <si>
    <t>11,00 Kr/kg</t>
  </si>
  <si>
    <t>3000 kr vartannat år för veterinärbesök (1500 kr årligen) för riskklassificering av Jordbruksverket, Miljötillsyn av kommunen 3620 kr/år (denna siffran kan variera mellan kommuner), Livsmedelsklassad byggnad (för slakt och beredning) ca 12500 kr/år. Fler kostnader kan tillkomma på denna post</t>
  </si>
  <si>
    <t>4480 kg</t>
  </si>
  <si>
    <t xml:space="preserve">SEK/kg     </t>
  </si>
  <si>
    <t>Avskrivningstid renovering &amp;  fastighet 15 år</t>
  </si>
  <si>
    <t>Pris  till butik/grossist</t>
  </si>
  <si>
    <t xml:space="preserve">Slakt &amp; urtagning </t>
  </si>
  <si>
    <t>Så här använder du kalkylexemplet</t>
  </si>
  <si>
    <t xml:space="preserve">Kalkylexemplen är fiktivta räkneexempel. </t>
  </si>
  <si>
    <t>Regionförbundet eller Refarm tar inte något ansvar för hur det blir för den enskilde företagaren.</t>
  </si>
  <si>
    <t>Varje företagare måste göra en egen kalkyl utifrån sina specifika förutsättningar.</t>
  </si>
  <si>
    <t>Fyll i dina siffror i de grönmarkerade fälten i Kalkylbladet samt Avskrivningar och Räntor.</t>
  </si>
  <si>
    <t>Nedan följer förklaringar för varje posts uträkning</t>
  </si>
  <si>
    <t>Uträkningar</t>
  </si>
  <si>
    <t>Foder mängd per år/foderkoeffienten för specifik art</t>
  </si>
  <si>
    <t>Uppskattning av % slaktavfall</t>
  </si>
  <si>
    <t>Vikt som kan säljas (Producerad vikt - Slakt/Filé svinn)</t>
  </si>
  <si>
    <t>Pris i butik (kan justeras)</t>
  </si>
  <si>
    <t>Konsumentpris - konsumentpris exkl. moms</t>
  </si>
  <si>
    <t>Pris i butik/moms (t ex 1,12)</t>
  </si>
  <si>
    <t>Ditt försäljningspris = din intäkt (Kons.pris exkl. moms - butiksmarginal)</t>
  </si>
  <si>
    <t>(Kr per mil*antal mil)*antal leverans tillfällen</t>
  </si>
  <si>
    <t>(Antal yngel*styckpris)+((kostnad per mil*antal mil)*antal leveranstillfällen) alt. (antal yngel*styckpris)+(leveranskostnad*antal leveranstillfällen)</t>
  </si>
  <si>
    <t>(antal arbetstimmar per dag*timlön)*dagar på året</t>
  </si>
  <si>
    <t>Foderpris per kg*antal kg</t>
  </si>
  <si>
    <t>(fast koeffecient*årlig foderförbrukning i kg)*syrepris</t>
  </si>
  <si>
    <t>Fast koeffecient=0,75</t>
  </si>
  <si>
    <t>(fast koeffecient*årlig foderförbrukning i kg)*bikarbonatpris</t>
  </si>
  <si>
    <t>Fast koeffecient=0,25</t>
  </si>
  <si>
    <t>(månadskostnad för nät*antal månader)+(elförbrukning*X öre per kWh för elnätsavgift)+(elförbrukning*X öre per kWh elpris)+(elförbrukning*X öre per kWh skatt)</t>
  </si>
  <si>
    <t>Elförbrukning=Fast koefeccient på 4,5*antal kg fisk producerat per år</t>
  </si>
  <si>
    <t>Uppskattat värde för underhåll alt. Komunalt vatten ca 2500m3/år för 40 ton</t>
  </si>
  <si>
    <t>Tillsyndsavgifter</t>
  </si>
  <si>
    <t>Försäkringsavgifter</t>
  </si>
  <si>
    <t>(antal tillfällen per år*stoppkostnad)+(antal kg fiskavfall*kg pris)</t>
  </si>
  <si>
    <t>Totalbelopp från separat tabell</t>
  </si>
  <si>
    <t>Alla ovanstående kostnader adderade</t>
  </si>
  <si>
    <t>Alla kostnader adderade</t>
  </si>
  <si>
    <t>Intäkter - kostnader</t>
  </si>
  <si>
    <t>Kolumn C visar totala intäkter/kostnader för hel fisk och Kolumn D intäkter/kostnader per kg hel fisk</t>
  </si>
  <si>
    <t>Kolumn F visar totala intäkter/kostnader för filé och Kolumn G intäkter/kostnader per kg filé</t>
  </si>
  <si>
    <t xml:space="preserve">Avskrivningar &amp; Räntor </t>
  </si>
  <si>
    <t>Den summa du värderar dina fasstigheter till, alternativt hyra av fastighet</t>
  </si>
  <si>
    <t>Kostnaden för att gå från dagsskicket på byggnaden till "fiskodlings standard"</t>
  </si>
  <si>
    <t>Kostnaden för en RAS och övrig teknisk utrustning</t>
  </si>
  <si>
    <t>Avskrivningstid maskinutrustning</t>
  </si>
  <si>
    <t>Maskinutrustningskostnaden / antal år du vill skriva av den på</t>
  </si>
  <si>
    <t xml:space="preserve">Ränta </t>
  </si>
  <si>
    <t>Renoveringskostnade + maskinutrustningkostnader *X% ränta</t>
  </si>
  <si>
    <t>Fastighetskostnad + renoveringskostnad / antal år du vill skriva av den på</t>
  </si>
  <si>
    <t>Summan av avskrivning på maskinutrustning, renovering, eventuell hyra samt ränta, detta värde sätts in i kalkylen under posten Avskrivning &amp; Räntor</t>
  </si>
  <si>
    <t>Totala kostnader exkl. underhåll &amp; diverse</t>
  </si>
  <si>
    <t>Ca 10 % av de totala kostnaderna exkl. löner för en 40 tons anläggning.</t>
  </si>
  <si>
    <t>Ca 10 % av de totala kostnaderna exkl. löner för en 40 tons anläggning. Denna summan varierar beroende på storleken på din odling</t>
  </si>
  <si>
    <t>Break even till konsument</t>
  </si>
  <si>
    <t>Break even till konsumt</t>
  </si>
  <si>
    <t>Uppskattning av butiksmarginal (konsumentpris exkl. moms * butiksmarginal ( t ex 35%=0,35)</t>
  </si>
  <si>
    <t>Det priset fisken måste kosta för kunden för att företaget skall gå runt ((Totala kostnader/butiksmarginal) * moms), t ex ((totala kostader/0,65)*1,12 )</t>
  </si>
  <si>
    <t>Break even till konsumet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</si>
</sst>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kr&quot;"/>
    <numFmt numFmtId="165" formatCode="#,##0.00\ &quot;kr&quot;"/>
    <numFmt numFmtId="166" formatCode="0.0%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5"/>
      <color theme="1"/>
      <name val="Calibri"/>
      <family val="2"/>
      <scheme val="minor"/>
    </font>
    <font>
      <sz val="15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15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1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/>
    <xf numFmtId="164" fontId="0" fillId="0" borderId="0" xfId="0" applyNumberFormat="1"/>
    <xf numFmtId="165" fontId="0" fillId="0" borderId="3" xfId="0" applyNumberFormat="1" applyBorder="1" applyAlignment="1">
      <alignment horizontal="center"/>
    </xf>
    <xf numFmtId="164" fontId="0" fillId="0" borderId="0" xfId="0" applyNumberFormat="1" applyAlignment="1">
      <alignment horizontal="right"/>
    </xf>
    <xf numFmtId="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" fontId="0" fillId="0" borderId="0" xfId="0" applyNumberFormat="1"/>
    <xf numFmtId="0" fontId="1" fillId="0" borderId="4" xfId="0" applyFont="1" applyBorder="1"/>
    <xf numFmtId="2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164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5" xfId="0" applyBorder="1" applyAlignment="1">
      <alignment horizontal="right"/>
    </xf>
    <xf numFmtId="165" fontId="0" fillId="0" borderId="5" xfId="0" applyNumberFormat="1" applyBorder="1" applyAlignment="1">
      <alignment horizontal="right"/>
    </xf>
    <xf numFmtId="165" fontId="0" fillId="0" borderId="0" xfId="0" applyNumberFormat="1" applyAlignment="1">
      <alignment horizontal="left"/>
    </xf>
    <xf numFmtId="165" fontId="2" fillId="0" borderId="0" xfId="0" applyNumberFormat="1" applyFont="1" applyAlignment="1">
      <alignment horizontal="left"/>
    </xf>
    <xf numFmtId="0" fontId="3" fillId="0" borderId="0" xfId="0" applyFont="1"/>
    <xf numFmtId="0" fontId="4" fillId="2" borderId="1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0" fillId="2" borderId="8" xfId="0" applyFill="1" applyBorder="1"/>
    <xf numFmtId="0" fontId="0" fillId="2" borderId="5" xfId="0" applyFill="1" applyBorder="1"/>
    <xf numFmtId="0" fontId="0" fillId="2" borderId="9" xfId="0" applyFill="1" applyBorder="1"/>
    <xf numFmtId="0" fontId="0" fillId="2" borderId="7" xfId="0" applyFill="1" applyBorder="1"/>
    <xf numFmtId="164" fontId="0" fillId="0" borderId="6" xfId="0" applyNumberFormat="1" applyBorder="1" applyAlignment="1">
      <alignment horizontal="right"/>
    </xf>
    <xf numFmtId="164" fontId="0" fillId="0" borderId="7" xfId="0" applyNumberFormat="1" applyBorder="1" applyAlignment="1">
      <alignment horizontal="right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165" fontId="0" fillId="0" borderId="6" xfId="0" applyNumberFormat="1" applyBorder="1" applyAlignment="1">
      <alignment horizontal="right"/>
    </xf>
    <xf numFmtId="0" fontId="1" fillId="0" borderId="10" xfId="0" applyFont="1" applyBorder="1"/>
    <xf numFmtId="0" fontId="0" fillId="0" borderId="11" xfId="0" applyBorder="1" applyAlignment="1">
      <alignment horizontal="right"/>
    </xf>
    <xf numFmtId="0" fontId="0" fillId="0" borderId="11" xfId="0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2" borderId="5" xfId="0" applyFont="1" applyFill="1" applyBorder="1"/>
    <xf numFmtId="0" fontId="2" fillId="2" borderId="7" xfId="0" applyFont="1" applyFill="1" applyBorder="1"/>
    <xf numFmtId="0" fontId="3" fillId="3" borderId="0" xfId="0" applyFont="1" applyFill="1"/>
    <xf numFmtId="0" fontId="7" fillId="3" borderId="0" xfId="0" applyFont="1" applyFill="1" applyAlignment="1">
      <alignment horizontal="center"/>
    </xf>
    <xf numFmtId="0" fontId="0" fillId="3" borderId="0" xfId="0" applyFill="1"/>
    <xf numFmtId="0" fontId="3" fillId="3" borderId="0" xfId="0" applyFont="1" applyFill="1" applyAlignment="1">
      <alignment horizontal="center"/>
    </xf>
    <xf numFmtId="0" fontId="1" fillId="3" borderId="0" xfId="0" applyFont="1" applyFill="1"/>
    <xf numFmtId="0" fontId="1" fillId="0" borderId="0" xfId="0" applyFont="1" applyAlignment="1">
      <alignment horizontal="right"/>
    </xf>
    <xf numFmtId="0" fontId="1" fillId="3" borderId="0" xfId="0" applyFont="1" applyFill="1" applyAlignment="1">
      <alignment horizontal="center"/>
    </xf>
    <xf numFmtId="0" fontId="1" fillId="2" borderId="8" xfId="0" applyFont="1" applyFill="1" applyBorder="1"/>
    <xf numFmtId="0" fontId="1" fillId="2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right"/>
    </xf>
    <xf numFmtId="0" fontId="1" fillId="2" borderId="5" xfId="0" applyFont="1" applyFill="1" applyBorder="1"/>
    <xf numFmtId="0" fontId="1" fillId="2" borderId="9" xfId="0" applyFont="1" applyFill="1" applyBorder="1"/>
    <xf numFmtId="0" fontId="1" fillId="2" borderId="9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right"/>
    </xf>
    <xf numFmtId="0" fontId="1" fillId="2" borderId="7" xfId="0" applyFont="1" applyFill="1" applyBorder="1"/>
    <xf numFmtId="9" fontId="0" fillId="0" borderId="0" xfId="1" applyFont="1" applyAlignment="1">
      <alignment horizontal="center"/>
    </xf>
    <xf numFmtId="166" fontId="0" fillId="0" borderId="0" xfId="1" applyNumberFormat="1" applyFont="1" applyAlignment="1">
      <alignment horizontal="center"/>
    </xf>
    <xf numFmtId="165" fontId="0" fillId="0" borderId="7" xfId="0" applyNumberFormat="1" applyBorder="1" applyAlignment="1">
      <alignment horizontal="right"/>
    </xf>
    <xf numFmtId="9" fontId="0" fillId="0" borderId="0" xfId="1" applyFont="1"/>
    <xf numFmtId="9" fontId="0" fillId="0" borderId="0" xfId="0" applyNumberFormat="1"/>
    <xf numFmtId="164" fontId="2" fillId="0" borderId="0" xfId="0" applyNumberFormat="1" applyFont="1"/>
    <xf numFmtId="2" fontId="0" fillId="0" borderId="0" xfId="0" applyNumberFormat="1" applyAlignment="1">
      <alignment horizontal="right"/>
    </xf>
    <xf numFmtId="0" fontId="1" fillId="2" borderId="0" xfId="0" applyFont="1" applyFill="1"/>
    <xf numFmtId="0" fontId="0" fillId="3" borderId="0" xfId="0" applyFill="1" applyAlignment="1">
      <alignment horizontal="center"/>
    </xf>
    <xf numFmtId="0" fontId="0" fillId="3" borderId="0" xfId="0" applyFill="1" applyAlignment="1">
      <alignment horizontal="right"/>
    </xf>
    <xf numFmtId="0" fontId="1" fillId="3" borderId="0" xfId="0" applyFont="1" applyFill="1" applyAlignment="1">
      <alignment horizontal="right"/>
    </xf>
    <xf numFmtId="0" fontId="4" fillId="2" borderId="8" xfId="0" applyFont="1" applyFill="1" applyBorder="1" applyAlignment="1">
      <alignment horizontal="center"/>
    </xf>
    <xf numFmtId="0" fontId="4" fillId="2" borderId="8" xfId="0" applyFont="1" applyFill="1" applyBorder="1"/>
    <xf numFmtId="0" fontId="4" fillId="2" borderId="8" xfId="0" applyFont="1" applyFill="1" applyBorder="1" applyAlignment="1">
      <alignment horizontal="right"/>
    </xf>
    <xf numFmtId="0" fontId="4" fillId="2" borderId="9" xfId="0" applyFont="1" applyFill="1" applyBorder="1" applyAlignment="1">
      <alignment horizontal="center"/>
    </xf>
    <xf numFmtId="0" fontId="4" fillId="2" borderId="9" xfId="0" applyFont="1" applyFill="1" applyBorder="1"/>
    <xf numFmtId="0" fontId="4" fillId="2" borderId="9" xfId="0" applyFont="1" applyFill="1" applyBorder="1" applyAlignment="1">
      <alignment horizontal="right"/>
    </xf>
    <xf numFmtId="1" fontId="0" fillId="0" borderId="0" xfId="0" applyNumberFormat="1" applyAlignment="1">
      <alignment horizontal="right"/>
    </xf>
    <xf numFmtId="166" fontId="0" fillId="0" borderId="0" xfId="1" applyNumberFormat="1" applyFont="1" applyAlignment="1">
      <alignment horizontal="right"/>
    </xf>
    <xf numFmtId="0" fontId="2" fillId="0" borderId="2" xfId="0" applyFont="1" applyBorder="1"/>
    <xf numFmtId="165" fontId="2" fillId="0" borderId="6" xfId="0" applyNumberFormat="1" applyFont="1" applyBorder="1" applyAlignment="1">
      <alignment horizontal="right"/>
    </xf>
    <xf numFmtId="165" fontId="2" fillId="0" borderId="0" xfId="0" applyNumberFormat="1" applyFont="1" applyAlignment="1">
      <alignment horizontal="right"/>
    </xf>
    <xf numFmtId="165" fontId="0" fillId="0" borderId="0" xfId="0" applyNumberFormat="1"/>
    <xf numFmtId="0" fontId="4" fillId="2" borderId="5" xfId="0" applyFont="1" applyFill="1" applyBorder="1"/>
    <xf numFmtId="0" fontId="4" fillId="2" borderId="7" xfId="0" applyFont="1" applyFill="1" applyBorder="1"/>
    <xf numFmtId="165" fontId="0" fillId="0" borderId="0" xfId="0" applyNumberFormat="1" applyAlignment="1">
      <alignment horizontal="right"/>
    </xf>
    <xf numFmtId="0" fontId="1" fillId="4" borderId="0" xfId="0" applyFont="1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right"/>
    </xf>
    <xf numFmtId="0" fontId="0" fillId="4" borderId="0" xfId="0" applyFill="1"/>
    <xf numFmtId="0" fontId="1" fillId="4" borderId="0" xfId="0" applyFont="1" applyFill="1" applyAlignment="1">
      <alignment horizontal="center"/>
    </xf>
    <xf numFmtId="0" fontId="1" fillId="4" borderId="0" xfId="0" applyFont="1" applyFill="1" applyAlignment="1">
      <alignment horizontal="right"/>
    </xf>
    <xf numFmtId="0" fontId="3" fillId="4" borderId="0" xfId="0" applyFont="1" applyFill="1" applyProtection="1">
      <protection locked="0"/>
    </xf>
    <xf numFmtId="0" fontId="7" fillId="4" borderId="0" xfId="0" applyFont="1" applyFill="1" applyAlignment="1">
      <alignment horizontal="center"/>
    </xf>
    <xf numFmtId="0" fontId="7" fillId="4" borderId="0" xfId="0" applyFont="1" applyFill="1" applyAlignment="1">
      <alignment horizontal="right"/>
    </xf>
    <xf numFmtId="0" fontId="7" fillId="4" borderId="0" xfId="0" applyFont="1" applyFill="1"/>
    <xf numFmtId="0" fontId="3" fillId="5" borderId="10" xfId="0" applyFont="1" applyFill="1" applyBorder="1"/>
    <xf numFmtId="0" fontId="7" fillId="5" borderId="11" xfId="0" applyFont="1" applyFill="1" applyBorder="1" applyAlignment="1">
      <alignment horizontal="center"/>
    </xf>
    <xf numFmtId="0" fontId="7" fillId="4" borderId="0" xfId="0" applyFont="1" applyFill="1" applyProtection="1">
      <protection locked="0"/>
    </xf>
    <xf numFmtId="0" fontId="7" fillId="5" borderId="2" xfId="0" applyFont="1" applyFill="1" applyBorder="1"/>
    <xf numFmtId="9" fontId="7" fillId="4" borderId="0" xfId="1" applyFont="1" applyFill="1" applyAlignment="1">
      <alignment horizontal="center"/>
    </xf>
    <xf numFmtId="166" fontId="7" fillId="4" borderId="0" xfId="1" applyNumberFormat="1" applyFont="1" applyFill="1" applyAlignment="1">
      <alignment horizontal="center"/>
    </xf>
    <xf numFmtId="1" fontId="7" fillId="4" borderId="0" xfId="0" applyNumberFormat="1" applyFont="1" applyFill="1" applyAlignment="1">
      <alignment horizontal="center"/>
    </xf>
    <xf numFmtId="2" fontId="7" fillId="4" borderId="0" xfId="0" applyNumberFormat="1" applyFont="1" applyFill="1" applyAlignment="1">
      <alignment horizontal="center"/>
    </xf>
    <xf numFmtId="165" fontId="7" fillId="4" borderId="0" xfId="0" applyNumberFormat="1" applyFont="1" applyFill="1" applyAlignment="1">
      <alignment horizontal="center"/>
    </xf>
    <xf numFmtId="165" fontId="8" fillId="5" borderId="6" xfId="0" applyNumberFormat="1" applyFont="1" applyFill="1" applyBorder="1" applyAlignment="1">
      <alignment horizontal="center"/>
    </xf>
    <xf numFmtId="9" fontId="7" fillId="4" borderId="0" xfId="0" applyNumberFormat="1" applyFont="1" applyFill="1" applyAlignment="1">
      <alignment horizontal="center"/>
    </xf>
    <xf numFmtId="0" fontId="3" fillId="5" borderId="4" xfId="0" applyFont="1" applyFill="1" applyBorder="1"/>
    <xf numFmtId="165" fontId="8" fillId="5" borderId="7" xfId="0" applyNumberFormat="1" applyFont="1" applyFill="1" applyBorder="1" applyAlignment="1">
      <alignment horizontal="center"/>
    </xf>
    <xf numFmtId="0" fontId="3" fillId="4" borderId="0" xfId="0" applyFont="1" applyFill="1"/>
    <xf numFmtId="165" fontId="7" fillId="4" borderId="0" xfId="0" applyNumberFormat="1" applyFont="1" applyFill="1" applyAlignment="1">
      <alignment horizontal="right"/>
    </xf>
    <xf numFmtId="164" fontId="7" fillId="4" borderId="0" xfId="0" applyNumberFormat="1" applyFont="1" applyFill="1" applyAlignment="1">
      <alignment horizontal="center"/>
    </xf>
    <xf numFmtId="2" fontId="7" fillId="4" borderId="0" xfId="0" applyNumberFormat="1" applyFont="1" applyFill="1" applyAlignment="1">
      <alignment horizontal="right"/>
    </xf>
    <xf numFmtId="0" fontId="9" fillId="5" borderId="0" xfId="0" applyFont="1" applyFill="1"/>
    <xf numFmtId="0" fontId="10" fillId="5" borderId="0" xfId="0" applyFont="1" applyFill="1"/>
    <xf numFmtId="0" fontId="0" fillId="5" borderId="0" xfId="0" applyFill="1"/>
    <xf numFmtId="0" fontId="3" fillId="5" borderId="0" xfId="0" applyFont="1" applyFill="1"/>
    <xf numFmtId="0" fontId="1" fillId="5" borderId="0" xfId="0" applyFont="1" applyFill="1"/>
    <xf numFmtId="0" fontId="0" fillId="5" borderId="3" xfId="0" applyFill="1" applyBorder="1"/>
    <xf numFmtId="0" fontId="0" fillId="5" borderId="23" xfId="0" applyFill="1" applyBorder="1"/>
    <xf numFmtId="0" fontId="0" fillId="5" borderId="11" xfId="0" applyFill="1" applyBorder="1"/>
    <xf numFmtId="165" fontId="0" fillId="5" borderId="0" xfId="0" applyNumberFormat="1" applyFill="1" applyAlignment="1">
      <alignment horizontal="center"/>
    </xf>
    <xf numFmtId="0" fontId="0" fillId="5" borderId="15" xfId="0" applyFill="1" applyBorder="1"/>
    <xf numFmtId="0" fontId="0" fillId="5" borderId="16" xfId="0" applyFill="1" applyBorder="1"/>
    <xf numFmtId="0" fontId="0" fillId="5" borderId="17" xfId="0" applyFill="1" applyBorder="1"/>
    <xf numFmtId="0" fontId="0" fillId="5" borderId="20" xfId="0" applyFill="1" applyBorder="1"/>
    <xf numFmtId="0" fontId="0" fillId="5" borderId="21" xfId="0" applyFill="1" applyBorder="1"/>
    <xf numFmtId="0" fontId="0" fillId="5" borderId="22" xfId="0" applyFill="1" applyBorder="1"/>
    <xf numFmtId="0" fontId="1" fillId="5" borderId="1" xfId="0" applyFont="1" applyFill="1" applyBorder="1"/>
    <xf numFmtId="0" fontId="0" fillId="5" borderId="5" xfId="0" applyFill="1" applyBorder="1" applyAlignment="1">
      <alignment horizontal="right"/>
    </xf>
    <xf numFmtId="0" fontId="0" fillId="5" borderId="1" xfId="0" applyFill="1" applyBorder="1"/>
    <xf numFmtId="165" fontId="0" fillId="5" borderId="5" xfId="0" applyNumberFormat="1" applyFill="1" applyBorder="1" applyAlignment="1">
      <alignment horizontal="right"/>
    </xf>
    <xf numFmtId="0" fontId="0" fillId="5" borderId="2" xfId="0" applyFill="1" applyBorder="1"/>
    <xf numFmtId="165" fontId="0" fillId="5" borderId="6" xfId="0" applyNumberFormat="1" applyFill="1" applyBorder="1" applyAlignment="1">
      <alignment horizontal="right"/>
    </xf>
    <xf numFmtId="0" fontId="1" fillId="5" borderId="4" xfId="0" applyFont="1" applyFill="1" applyBorder="1"/>
    <xf numFmtId="165" fontId="0" fillId="5" borderId="7" xfId="0" applyNumberFormat="1" applyFill="1" applyBorder="1" applyAlignment="1">
      <alignment horizontal="right"/>
    </xf>
    <xf numFmtId="0" fontId="4" fillId="2" borderId="15" xfId="0" applyFont="1" applyFill="1" applyBorder="1" applyAlignment="1">
      <alignment vertical="center"/>
    </xf>
    <xf numFmtId="0" fontId="6" fillId="2" borderId="16" xfId="0" applyFont="1" applyFill="1" applyBorder="1"/>
    <xf numFmtId="0" fontId="6" fillId="2" borderId="16" xfId="0" applyFont="1" applyFill="1" applyBorder="1" applyAlignment="1">
      <alignment horizontal="right"/>
    </xf>
    <xf numFmtId="0" fontId="6" fillId="2" borderId="17" xfId="0" applyFont="1" applyFill="1" applyBorder="1"/>
    <xf numFmtId="0" fontId="4" fillId="2" borderId="18" xfId="0" applyFont="1" applyFill="1" applyBorder="1" applyAlignment="1">
      <alignment vertical="center"/>
    </xf>
    <xf numFmtId="0" fontId="6" fillId="2" borderId="0" xfId="0" applyFont="1" applyFill="1"/>
    <xf numFmtId="0" fontId="6" fillId="2" borderId="0" xfId="0" applyFont="1" applyFill="1" applyAlignment="1">
      <alignment horizontal="right"/>
    </xf>
    <xf numFmtId="0" fontId="6" fillId="2" borderId="19" xfId="0" applyFont="1" applyFill="1" applyBorder="1"/>
    <xf numFmtId="0" fontId="1" fillId="2" borderId="18" xfId="0" applyFont="1" applyFill="1" applyBorder="1"/>
    <xf numFmtId="0" fontId="1" fillId="2" borderId="19" xfId="0" applyFont="1" applyFill="1" applyBorder="1"/>
    <xf numFmtId="0" fontId="1" fillId="2" borderId="20" xfId="0" applyFont="1" applyFill="1" applyBorder="1"/>
    <xf numFmtId="0" fontId="1" fillId="2" borderId="21" xfId="0" applyFont="1" applyFill="1" applyBorder="1"/>
    <xf numFmtId="0" fontId="1" fillId="2" borderId="22" xfId="0" applyFont="1" applyFill="1" applyBorder="1"/>
    <xf numFmtId="1" fontId="7" fillId="6" borderId="12" xfId="0" applyNumberFormat="1" applyFont="1" applyFill="1" applyBorder="1" applyAlignment="1" applyProtection="1">
      <alignment horizontal="center"/>
      <protection locked="0"/>
    </xf>
    <xf numFmtId="165" fontId="7" fillId="6" borderId="12" xfId="0" applyNumberFormat="1" applyFont="1" applyFill="1" applyBorder="1" applyAlignment="1" applyProtection="1">
      <alignment horizontal="center"/>
      <protection locked="0"/>
    </xf>
    <xf numFmtId="165" fontId="8" fillId="6" borderId="13" xfId="0" applyNumberFormat="1" applyFont="1" applyFill="1" applyBorder="1" applyAlignment="1" applyProtection="1">
      <alignment horizontal="center"/>
      <protection locked="0"/>
    </xf>
    <xf numFmtId="165" fontId="8" fillId="6" borderId="14" xfId="0" applyNumberFormat="1" applyFont="1" applyFill="1" applyBorder="1" applyAlignment="1" applyProtection="1">
      <alignment horizontal="center"/>
      <protection locked="0"/>
    </xf>
    <xf numFmtId="165" fontId="7" fillId="6" borderId="12" xfId="0" applyNumberFormat="1" applyFont="1" applyFill="1" applyBorder="1" applyAlignment="1" applyProtection="1">
      <alignment horizontal="right"/>
      <protection locked="0"/>
    </xf>
    <xf numFmtId="165" fontId="7" fillId="6" borderId="12" xfId="0" applyNumberFormat="1" applyFont="1" applyFill="1" applyBorder="1" applyAlignment="1">
      <alignment horizontal="righ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A8" workbookViewId="0">
      <selection activeCell="H35" sqref="H35"/>
    </sheetView>
  </sheetViews>
  <sheetFormatPr baseColWidth="10" defaultColWidth="8.83203125" defaultRowHeight="14" x14ac:dyDescent="0"/>
  <cols>
    <col min="1" max="1" width="38" bestFit="1" customWidth="1"/>
    <col min="3" max="3" width="11.5" customWidth="1"/>
    <col min="4" max="4" width="12.1640625" customWidth="1"/>
    <col min="5" max="5" width="33" customWidth="1"/>
    <col min="6" max="6" width="23.33203125" customWidth="1"/>
    <col min="7" max="7" width="21.5" customWidth="1"/>
  </cols>
  <sheetData>
    <row r="1" spans="1:11" ht="19">
      <c r="A1" s="24" t="s">
        <v>28</v>
      </c>
    </row>
    <row r="2" spans="1:11" ht="15" thickBot="1"/>
    <row r="3" spans="1:11">
      <c r="A3" s="25" t="s">
        <v>23</v>
      </c>
      <c r="B3" s="27"/>
      <c r="C3" s="27"/>
      <c r="D3" s="27"/>
      <c r="E3" s="27"/>
      <c r="F3" s="27"/>
      <c r="G3" s="27"/>
      <c r="H3" s="27"/>
      <c r="I3" s="27"/>
      <c r="J3" s="27"/>
      <c r="K3" s="28"/>
    </row>
    <row r="4" spans="1:11" ht="15" thickBot="1">
      <c r="A4" s="26" t="s">
        <v>24</v>
      </c>
      <c r="B4" s="29"/>
      <c r="C4" s="29"/>
      <c r="D4" s="29"/>
      <c r="E4" s="29"/>
      <c r="F4" s="29"/>
      <c r="G4" s="29"/>
      <c r="H4" s="29"/>
      <c r="I4" s="29"/>
      <c r="J4" s="29"/>
      <c r="K4" s="30"/>
    </row>
    <row r="7" spans="1:11" ht="15" thickBot="1"/>
    <row r="8" spans="1:11" ht="15" thickBot="1">
      <c r="D8" s="3"/>
      <c r="E8" s="1"/>
      <c r="F8" s="4" t="s">
        <v>29</v>
      </c>
      <c r="G8" s="20"/>
    </row>
    <row r="9" spans="1:11">
      <c r="B9" s="2"/>
      <c r="C9" s="5"/>
      <c r="D9" s="2"/>
      <c r="F9" s="6"/>
      <c r="G9" s="21"/>
    </row>
    <row r="10" spans="1:11">
      <c r="A10" s="1" t="s">
        <v>0</v>
      </c>
      <c r="B10" s="2"/>
      <c r="C10" s="1" t="s">
        <v>30</v>
      </c>
      <c r="D10" s="2"/>
      <c r="F10" s="7" t="s">
        <v>1</v>
      </c>
      <c r="G10" s="31">
        <v>250000</v>
      </c>
    </row>
    <row r="11" spans="1:11" ht="15" thickBot="1">
      <c r="A11" t="s">
        <v>16</v>
      </c>
      <c r="B11" s="2"/>
      <c r="C11" s="5">
        <v>24960</v>
      </c>
      <c r="D11" s="5"/>
      <c r="E11" s="5"/>
      <c r="F11" s="7" t="s">
        <v>25</v>
      </c>
      <c r="G11" s="31">
        <v>1142400</v>
      </c>
    </row>
    <row r="12" spans="1:11" ht="15" thickBot="1">
      <c r="A12" t="s">
        <v>17</v>
      </c>
      <c r="B12" s="2"/>
      <c r="C12" s="8">
        <f>C11*D12</f>
        <v>3120000</v>
      </c>
      <c r="D12" s="9">
        <v>125</v>
      </c>
      <c r="F12" s="7" t="s">
        <v>26</v>
      </c>
      <c r="G12" s="31">
        <v>1814400</v>
      </c>
    </row>
    <row r="13" spans="1:11" ht="15" thickBot="1">
      <c r="A13" t="s">
        <v>18</v>
      </c>
      <c r="B13" s="11"/>
      <c r="C13" s="5">
        <v>149750</v>
      </c>
      <c r="D13" s="12"/>
      <c r="F13" s="7" t="s">
        <v>27</v>
      </c>
      <c r="G13" s="31">
        <v>500000</v>
      </c>
    </row>
    <row r="14" spans="1:11" ht="15" thickBot="1">
      <c r="A14" t="s">
        <v>19</v>
      </c>
      <c r="B14" s="2"/>
      <c r="C14" s="8">
        <f>C13*D14</f>
        <v>1198000</v>
      </c>
      <c r="D14" s="9">
        <v>8</v>
      </c>
      <c r="E14" s="13"/>
      <c r="F14" s="7"/>
      <c r="G14" s="31"/>
    </row>
    <row r="15" spans="1:11" ht="15" thickBot="1">
      <c r="B15" s="11"/>
      <c r="C15" s="8"/>
      <c r="D15" s="12"/>
      <c r="F15" s="14" t="s">
        <v>2</v>
      </c>
      <c r="G15" s="32">
        <f>SUM(G10:G14)</f>
        <v>3706800</v>
      </c>
    </row>
    <row r="16" spans="1:11">
      <c r="A16" s="1" t="s">
        <v>20</v>
      </c>
      <c r="B16" s="2"/>
      <c r="C16" s="8">
        <f>C12+C14</f>
        <v>4318000</v>
      </c>
      <c r="D16" s="12"/>
      <c r="F16" s="10"/>
      <c r="G16" s="12"/>
    </row>
    <row r="17" spans="1:7">
      <c r="B17" s="2"/>
      <c r="D17" s="15"/>
      <c r="F17" s="16"/>
      <c r="G17" s="15"/>
    </row>
    <row r="18" spans="1:7">
      <c r="A18" s="1" t="s">
        <v>3</v>
      </c>
      <c r="B18" s="5"/>
      <c r="C18" s="3" t="s">
        <v>4</v>
      </c>
      <c r="D18" s="2"/>
      <c r="F18" s="2"/>
      <c r="G18" s="2"/>
    </row>
    <row r="19" spans="1:7">
      <c r="A19" t="s">
        <v>5</v>
      </c>
      <c r="B19" s="2"/>
      <c r="C19" s="8">
        <v>50000</v>
      </c>
      <c r="D19" s="12"/>
      <c r="F19" s="10"/>
      <c r="G19" s="12"/>
    </row>
    <row r="20" spans="1:7">
      <c r="A20" t="s">
        <v>15</v>
      </c>
      <c r="B20" s="2"/>
      <c r="C20" s="8">
        <v>62400</v>
      </c>
      <c r="D20" s="12"/>
      <c r="F20" s="8"/>
      <c r="G20" s="12"/>
    </row>
    <row r="21" spans="1:7">
      <c r="A21" t="s">
        <v>12</v>
      </c>
      <c r="B21" s="2"/>
      <c r="C21" s="8">
        <v>1400000</v>
      </c>
      <c r="D21" s="12"/>
      <c r="F21" s="10"/>
      <c r="G21" s="12"/>
    </row>
    <row r="22" spans="1:7">
      <c r="A22" t="s">
        <v>6</v>
      </c>
      <c r="B22" s="2"/>
      <c r="C22" s="8">
        <v>403191</v>
      </c>
      <c r="D22" s="12"/>
      <c r="F22" s="10"/>
      <c r="G22" s="12"/>
    </row>
    <row r="23" spans="1:7">
      <c r="A23" t="s">
        <v>13</v>
      </c>
      <c r="B23" s="2"/>
      <c r="C23" s="8">
        <v>40000</v>
      </c>
      <c r="D23" s="12"/>
      <c r="F23" s="10"/>
      <c r="G23" s="12"/>
    </row>
    <row r="24" spans="1:7">
      <c r="A24" t="s">
        <v>14</v>
      </c>
      <c r="B24" s="2"/>
      <c r="C24" s="8">
        <v>168480</v>
      </c>
      <c r="D24" s="12"/>
      <c r="F24" s="10"/>
      <c r="G24" s="12"/>
    </row>
    <row r="25" spans="1:7">
      <c r="A25" t="s">
        <v>22</v>
      </c>
      <c r="B25" s="2"/>
      <c r="C25" s="8">
        <v>300000</v>
      </c>
      <c r="D25" s="12"/>
      <c r="F25" s="10"/>
      <c r="G25" s="12"/>
    </row>
    <row r="26" spans="1:7">
      <c r="A26" t="s">
        <v>7</v>
      </c>
      <c r="B26" s="2"/>
      <c r="C26" s="8">
        <v>175000</v>
      </c>
      <c r="D26" s="12"/>
      <c r="F26" s="8"/>
      <c r="G26" s="12"/>
    </row>
    <row r="27" spans="1:7">
      <c r="A27" t="s">
        <v>8</v>
      </c>
      <c r="B27" s="2"/>
      <c r="C27" s="8">
        <v>264893</v>
      </c>
      <c r="D27" s="22" t="s">
        <v>21</v>
      </c>
      <c r="F27" s="8"/>
      <c r="G27" s="12"/>
    </row>
    <row r="28" spans="1:7">
      <c r="A28" t="s">
        <v>9</v>
      </c>
      <c r="B28" s="2"/>
      <c r="C28" s="17">
        <v>312089</v>
      </c>
      <c r="D28" s="23"/>
      <c r="F28" s="17"/>
      <c r="G28" s="18"/>
    </row>
    <row r="29" spans="1:7">
      <c r="A29" t="s">
        <v>10</v>
      </c>
      <c r="B29" s="2"/>
      <c r="C29" s="17">
        <v>400000</v>
      </c>
      <c r="D29" s="18"/>
      <c r="E29" s="17"/>
      <c r="F29" s="17"/>
      <c r="G29" s="18"/>
    </row>
    <row r="30" spans="1:7">
      <c r="A30" s="1" t="s">
        <v>2</v>
      </c>
      <c r="B30" s="2"/>
      <c r="C30" s="8">
        <f>SUM(C19:C29)</f>
        <v>3576053</v>
      </c>
      <c r="D30" s="12"/>
      <c r="E30" s="8"/>
      <c r="F30" s="8"/>
      <c r="G30" s="12"/>
    </row>
    <row r="31" spans="1:7">
      <c r="B31" s="2"/>
      <c r="D31" s="12"/>
      <c r="G31" s="12"/>
    </row>
    <row r="32" spans="1:7">
      <c r="A32" s="1" t="s">
        <v>11</v>
      </c>
      <c r="B32" s="2"/>
      <c r="C32" s="8">
        <f>C16-C30</f>
        <v>741947</v>
      </c>
      <c r="D32" s="12"/>
      <c r="E32" s="8"/>
      <c r="F32" s="8"/>
      <c r="G32" s="12"/>
    </row>
    <row r="33" spans="2:7">
      <c r="B33" s="2"/>
      <c r="D33" s="19"/>
      <c r="F33" s="16"/>
      <c r="G33" s="19"/>
    </row>
  </sheetData>
  <sheetProtection password="DF1D" sheet="1" objects="1" scenarios="1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I26" sqref="I26"/>
    </sheetView>
  </sheetViews>
  <sheetFormatPr baseColWidth="10" defaultColWidth="8.83203125" defaultRowHeight="14" x14ac:dyDescent="0"/>
  <cols>
    <col min="1" max="1" width="35.6640625" customWidth="1"/>
    <col min="3" max="3" width="20.5" bestFit="1" customWidth="1"/>
    <col min="6" max="6" width="26.1640625" bestFit="1" customWidth="1"/>
    <col min="7" max="7" width="12" bestFit="1" customWidth="1"/>
    <col min="8" max="8" width="18.5" customWidth="1"/>
  </cols>
  <sheetData>
    <row r="1" spans="1:11" ht="19">
      <c r="A1" s="24" t="s">
        <v>42</v>
      </c>
    </row>
    <row r="2" spans="1:11" ht="15" thickBot="1"/>
    <row r="3" spans="1:11">
      <c r="A3" s="25" t="s">
        <v>23</v>
      </c>
      <c r="B3" s="40"/>
      <c r="C3" s="40"/>
      <c r="D3" s="40"/>
      <c r="E3" s="40"/>
      <c r="F3" s="40"/>
      <c r="G3" s="40"/>
      <c r="H3" s="40"/>
      <c r="I3" s="40"/>
      <c r="J3" s="40"/>
      <c r="K3" s="42"/>
    </row>
    <row r="4" spans="1:11" ht="15" thickBot="1">
      <c r="A4" s="26" t="s">
        <v>24</v>
      </c>
      <c r="B4" s="41"/>
      <c r="C4" s="41"/>
      <c r="D4" s="41"/>
      <c r="E4" s="41"/>
      <c r="F4" s="41"/>
      <c r="G4" s="41"/>
      <c r="H4" s="41"/>
      <c r="I4" s="41"/>
      <c r="J4" s="41"/>
      <c r="K4" s="43"/>
    </row>
    <row r="7" spans="1:11" ht="15" thickBot="1"/>
    <row r="8" spans="1:11" ht="15" thickBot="1">
      <c r="D8" s="3"/>
      <c r="E8" s="1"/>
      <c r="F8" s="37" t="s">
        <v>29</v>
      </c>
      <c r="G8" s="38"/>
      <c r="H8" s="39" t="s">
        <v>38</v>
      </c>
    </row>
    <row r="9" spans="1:11">
      <c r="B9" s="2"/>
      <c r="C9" s="5"/>
      <c r="D9" s="2"/>
      <c r="F9" s="7"/>
      <c r="G9" s="36"/>
      <c r="H9" s="34"/>
    </row>
    <row r="10" spans="1:11">
      <c r="A10" s="1" t="s">
        <v>34</v>
      </c>
      <c r="B10" s="2"/>
      <c r="C10" s="1" t="s">
        <v>30</v>
      </c>
      <c r="D10" s="2"/>
      <c r="F10" s="7" t="s">
        <v>31</v>
      </c>
      <c r="G10" s="31">
        <v>9741740</v>
      </c>
      <c r="H10" s="34" t="s">
        <v>39</v>
      </c>
    </row>
    <row r="11" spans="1:11">
      <c r="A11" t="s">
        <v>35</v>
      </c>
      <c r="B11" s="2"/>
      <c r="C11" s="5">
        <v>5000</v>
      </c>
      <c r="D11" s="5"/>
      <c r="E11" s="5"/>
      <c r="F11" s="7" t="s">
        <v>32</v>
      </c>
      <c r="G11" s="31">
        <v>15429307</v>
      </c>
      <c r="H11" s="34" t="s">
        <v>40</v>
      </c>
    </row>
    <row r="12" spans="1:11">
      <c r="A12" t="s">
        <v>18</v>
      </c>
      <c r="B12" s="11"/>
      <c r="C12" s="5">
        <v>8250</v>
      </c>
      <c r="D12" s="12"/>
      <c r="F12" s="7" t="s">
        <v>33</v>
      </c>
      <c r="G12" s="31">
        <v>30098600</v>
      </c>
      <c r="H12" s="34" t="s">
        <v>41</v>
      </c>
    </row>
    <row r="13" spans="1:11" ht="15" thickBot="1">
      <c r="A13" s="1" t="s">
        <v>20</v>
      </c>
      <c r="B13" s="2"/>
      <c r="C13" s="8">
        <v>760005</v>
      </c>
      <c r="D13" s="12"/>
      <c r="F13" s="33"/>
      <c r="G13" s="32"/>
      <c r="H13" s="35"/>
    </row>
    <row r="14" spans="1:11">
      <c r="B14" s="2"/>
      <c r="C14" s="8"/>
      <c r="D14" s="12"/>
      <c r="E14" s="13"/>
      <c r="G14" s="10"/>
    </row>
    <row r="15" spans="1:11">
      <c r="A15" s="1" t="s">
        <v>36</v>
      </c>
      <c r="B15" s="2"/>
      <c r="C15" s="1" t="s">
        <v>30</v>
      </c>
      <c r="D15" s="12"/>
      <c r="F15" s="1"/>
      <c r="G15" s="10"/>
    </row>
    <row r="16" spans="1:11">
      <c r="A16" t="s">
        <v>35</v>
      </c>
      <c r="B16" s="2"/>
      <c r="C16" s="5">
        <v>5000</v>
      </c>
      <c r="D16" s="12"/>
      <c r="F16" s="10"/>
      <c r="G16" s="12"/>
    </row>
    <row r="17" spans="1:7">
      <c r="A17" t="s">
        <v>18</v>
      </c>
      <c r="B17" s="11"/>
      <c r="C17" s="5">
        <v>24000</v>
      </c>
      <c r="D17" s="15"/>
      <c r="F17" s="16"/>
      <c r="G17" s="15"/>
    </row>
    <row r="18" spans="1:7">
      <c r="A18" s="1" t="s">
        <v>20</v>
      </c>
      <c r="B18" s="2"/>
      <c r="C18" s="8">
        <v>2764400</v>
      </c>
      <c r="D18" s="2"/>
      <c r="F18" s="2"/>
      <c r="G18" s="2"/>
    </row>
    <row r="19" spans="1:7">
      <c r="B19" s="2"/>
      <c r="C19" s="8"/>
      <c r="D19" s="12"/>
      <c r="F19" s="10"/>
      <c r="G19" s="12"/>
    </row>
    <row r="20" spans="1:7">
      <c r="A20" s="1" t="s">
        <v>37</v>
      </c>
      <c r="B20" s="2"/>
      <c r="C20" s="1" t="s">
        <v>30</v>
      </c>
      <c r="D20" s="12"/>
      <c r="F20" s="8"/>
      <c r="G20" s="12"/>
    </row>
    <row r="21" spans="1:7">
      <c r="A21" t="s">
        <v>35</v>
      </c>
      <c r="B21" s="2"/>
      <c r="C21" s="5">
        <v>30000</v>
      </c>
      <c r="D21" s="12"/>
      <c r="F21" s="10"/>
      <c r="G21" s="12"/>
    </row>
    <row r="22" spans="1:7">
      <c r="A22" t="s">
        <v>18</v>
      </c>
      <c r="B22" s="11"/>
      <c r="C22" s="5">
        <v>42750</v>
      </c>
      <c r="D22" s="12"/>
      <c r="F22" s="10"/>
      <c r="G22" s="12"/>
    </row>
    <row r="23" spans="1:7">
      <c r="A23" s="1" t="s">
        <v>20</v>
      </c>
      <c r="B23" s="2"/>
      <c r="C23" s="8">
        <v>8830510</v>
      </c>
      <c r="D23" s="12"/>
      <c r="F23" s="10"/>
      <c r="G23" s="12"/>
    </row>
    <row r="24" spans="1:7">
      <c r="B24" s="2"/>
      <c r="C24" s="8"/>
      <c r="D24" s="12"/>
      <c r="F24" s="10"/>
      <c r="G24" s="12"/>
    </row>
    <row r="25" spans="1:7">
      <c r="B25" s="2"/>
      <c r="C25" s="8"/>
      <c r="D25" s="12"/>
      <c r="F25" s="10"/>
      <c r="G25" s="12"/>
    </row>
    <row r="26" spans="1:7">
      <c r="B26" s="2"/>
      <c r="C26" s="8"/>
      <c r="D26" s="12"/>
      <c r="F26" s="8"/>
      <c r="G26" s="12"/>
    </row>
    <row r="27" spans="1:7">
      <c r="B27" s="2"/>
      <c r="C27" s="8"/>
      <c r="D27" s="22"/>
      <c r="F27" s="8"/>
      <c r="G27" s="12"/>
    </row>
    <row r="28" spans="1:7">
      <c r="B28" s="2"/>
      <c r="C28" s="17"/>
      <c r="D28" s="23"/>
      <c r="F28" s="17"/>
      <c r="G28" s="18"/>
    </row>
    <row r="29" spans="1:7">
      <c r="B29" s="2"/>
      <c r="C29" s="17"/>
      <c r="D29" s="18"/>
      <c r="E29" s="17"/>
      <c r="F29" s="17"/>
      <c r="G29" s="18"/>
    </row>
    <row r="30" spans="1:7">
      <c r="A30" s="1"/>
      <c r="B30" s="2"/>
      <c r="C30" s="8"/>
      <c r="D30" s="12"/>
      <c r="E30" s="8"/>
      <c r="F30" s="8"/>
      <c r="G30" s="12"/>
    </row>
    <row r="31" spans="1:7">
      <c r="B31" s="2"/>
      <c r="D31" s="12"/>
      <c r="G31" s="12"/>
    </row>
    <row r="32" spans="1:7">
      <c r="A32" s="1"/>
      <c r="B32" s="2"/>
      <c r="C32" s="8"/>
      <c r="D32" s="12"/>
      <c r="E32" s="8"/>
      <c r="F32" s="8"/>
      <c r="G32" s="12"/>
    </row>
    <row r="33" spans="2:7">
      <c r="B33" s="2"/>
      <c r="D33" s="19"/>
      <c r="F33" s="16"/>
      <c r="G33" s="19"/>
    </row>
  </sheetData>
  <sheetProtection password="DF1D" sheet="1" objects="1" scenarios="1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topLeftCell="A11" zoomScale="90" zoomScaleNormal="90" zoomScalePageLayoutView="90" workbookViewId="0">
      <selection activeCell="J13" sqref="J13"/>
    </sheetView>
  </sheetViews>
  <sheetFormatPr baseColWidth="10" defaultColWidth="8.83203125" defaultRowHeight="14" x14ac:dyDescent="0"/>
  <cols>
    <col min="1" max="1" width="33" customWidth="1"/>
    <col min="3" max="3" width="12.1640625" bestFit="1" customWidth="1"/>
    <col min="4" max="4" width="9.33203125" bestFit="1" customWidth="1"/>
    <col min="6" max="6" width="12.83203125" bestFit="1" customWidth="1"/>
    <col min="7" max="7" width="10.1640625" bestFit="1" customWidth="1"/>
    <col min="9" max="9" width="13.5" bestFit="1" customWidth="1"/>
    <col min="10" max="10" width="11.1640625" bestFit="1" customWidth="1"/>
    <col min="11" max="11" width="46.5" customWidth="1"/>
    <col min="12" max="12" width="38.5" bestFit="1" customWidth="1"/>
    <col min="13" max="13" width="13.6640625" bestFit="1" customWidth="1"/>
  </cols>
  <sheetData>
    <row r="1" spans="1:16" ht="19">
      <c r="A1" s="44" t="s">
        <v>43</v>
      </c>
      <c r="B1" s="45"/>
      <c r="C1" s="46"/>
      <c r="D1" s="67"/>
      <c r="E1" s="46"/>
      <c r="F1" s="68"/>
      <c r="G1" s="2"/>
      <c r="H1" s="2"/>
      <c r="I1" s="2"/>
      <c r="J1" s="2"/>
    </row>
    <row r="2" spans="1:16" ht="19">
      <c r="A2" s="44" t="s">
        <v>44</v>
      </c>
      <c r="B2" s="47"/>
      <c r="C2" s="48"/>
      <c r="D2" s="50"/>
      <c r="E2" s="48"/>
      <c r="F2" s="69"/>
      <c r="G2" s="3"/>
      <c r="H2" s="3"/>
      <c r="I2" s="3"/>
      <c r="J2" s="3"/>
      <c r="K2" s="1"/>
      <c r="L2" s="1"/>
      <c r="M2" s="1"/>
      <c r="N2" s="1"/>
      <c r="O2" s="1"/>
      <c r="P2" s="1"/>
    </row>
    <row r="3" spans="1:16" ht="15" thickBot="1">
      <c r="A3" s="48"/>
      <c r="B3" s="50"/>
      <c r="C3" s="48"/>
      <c r="D3" s="3"/>
      <c r="E3" s="1"/>
      <c r="F3" s="49"/>
      <c r="G3" s="3"/>
      <c r="H3" s="3"/>
      <c r="I3" s="3"/>
      <c r="J3" s="3"/>
      <c r="K3" s="1"/>
      <c r="L3" s="1"/>
      <c r="M3" s="1"/>
      <c r="N3" s="1"/>
      <c r="O3" s="1"/>
      <c r="P3" s="1"/>
    </row>
    <row r="4" spans="1:16">
      <c r="A4" s="25" t="s">
        <v>23</v>
      </c>
      <c r="B4" s="51"/>
      <c r="C4" s="51"/>
      <c r="D4" s="52"/>
      <c r="E4" s="51"/>
      <c r="F4" s="53"/>
      <c r="G4" s="52"/>
      <c r="H4" s="52"/>
      <c r="I4" s="52"/>
      <c r="J4" s="52"/>
      <c r="K4" s="51"/>
      <c r="L4" s="51"/>
      <c r="M4" s="54"/>
      <c r="N4" s="1"/>
      <c r="O4" s="1"/>
      <c r="P4" s="1"/>
    </row>
    <row r="5" spans="1:16" ht="15" thickBot="1">
      <c r="A5" s="26" t="s">
        <v>24</v>
      </c>
      <c r="B5" s="55"/>
      <c r="C5" s="55"/>
      <c r="D5" s="56"/>
      <c r="E5" s="55"/>
      <c r="F5" s="57"/>
      <c r="G5" s="56"/>
      <c r="H5" s="56"/>
      <c r="I5" s="56"/>
      <c r="J5" s="56"/>
      <c r="K5" s="55"/>
      <c r="L5" s="55"/>
      <c r="M5" s="58"/>
      <c r="N5" s="1"/>
      <c r="O5" s="1"/>
      <c r="P5" s="1"/>
    </row>
    <row r="6" spans="1:16">
      <c r="A6" s="1"/>
      <c r="B6" s="3"/>
      <c r="C6" s="1"/>
      <c r="D6" s="3"/>
      <c r="E6" s="1"/>
      <c r="F6" s="49"/>
      <c r="G6" s="3"/>
      <c r="H6" s="3"/>
      <c r="I6" s="3"/>
      <c r="J6" s="3"/>
      <c r="K6" s="1"/>
      <c r="L6" s="1"/>
      <c r="M6" s="1"/>
      <c r="N6" s="1"/>
      <c r="O6" s="1"/>
      <c r="P6" s="1"/>
    </row>
    <row r="7" spans="1:16" ht="15" thickBot="1">
      <c r="A7" s="1"/>
      <c r="B7" s="3"/>
      <c r="C7" s="1"/>
      <c r="D7" s="3"/>
      <c r="E7" s="1"/>
      <c r="F7" s="49"/>
      <c r="G7" s="3"/>
      <c r="H7" s="3"/>
      <c r="I7" s="3"/>
      <c r="J7" s="3"/>
      <c r="K7" s="1"/>
      <c r="L7" s="1"/>
      <c r="M7" s="1"/>
      <c r="N7" s="1"/>
      <c r="O7" s="1"/>
      <c r="P7" s="1"/>
    </row>
    <row r="8" spans="1:16" ht="15" thickBot="1">
      <c r="A8" s="1" t="s">
        <v>0</v>
      </c>
      <c r="B8" s="2"/>
      <c r="C8" s="1" t="s">
        <v>45</v>
      </c>
      <c r="D8" s="3" t="s">
        <v>46</v>
      </c>
      <c r="E8" s="1"/>
      <c r="F8" s="49" t="s">
        <v>47</v>
      </c>
      <c r="G8" s="3" t="s">
        <v>48</v>
      </c>
      <c r="H8" s="3"/>
      <c r="I8" s="49" t="s">
        <v>49</v>
      </c>
      <c r="J8" s="3" t="s">
        <v>50</v>
      </c>
      <c r="K8" s="1" t="s">
        <v>51</v>
      </c>
      <c r="L8" s="4" t="s">
        <v>52</v>
      </c>
      <c r="M8" s="20"/>
    </row>
    <row r="9" spans="1:16">
      <c r="A9" t="s">
        <v>53</v>
      </c>
      <c r="B9" s="2"/>
      <c r="C9" s="5">
        <v>36000</v>
      </c>
      <c r="D9" s="2"/>
      <c r="F9" s="5">
        <v>36000</v>
      </c>
      <c r="G9" s="2"/>
      <c r="H9" s="2"/>
      <c r="I9" s="5">
        <v>36000</v>
      </c>
      <c r="J9" s="2"/>
      <c r="K9" t="s">
        <v>54</v>
      </c>
      <c r="L9" s="6" t="s">
        <v>55</v>
      </c>
      <c r="M9" s="21">
        <v>0</v>
      </c>
    </row>
    <row r="10" spans="1:16">
      <c r="A10" t="s">
        <v>56</v>
      </c>
      <c r="B10" s="2"/>
      <c r="C10" s="59">
        <v>0.16</v>
      </c>
      <c r="D10" s="2"/>
      <c r="F10" s="60">
        <v>0.57999999999999996</v>
      </c>
      <c r="G10" s="2"/>
      <c r="H10" s="2"/>
      <c r="I10" s="60">
        <v>0.33</v>
      </c>
      <c r="J10" s="2"/>
      <c r="K10" t="s">
        <v>57</v>
      </c>
      <c r="L10" s="7" t="s">
        <v>1</v>
      </c>
      <c r="M10" s="36">
        <v>450000</v>
      </c>
    </row>
    <row r="11" spans="1:16" ht="15" thickBot="1">
      <c r="A11" t="s">
        <v>58</v>
      </c>
      <c r="B11" s="2"/>
      <c r="C11" s="5">
        <f>C9*(1-C10)</f>
        <v>30240</v>
      </c>
      <c r="D11" s="5"/>
      <c r="E11" s="5"/>
      <c r="F11" s="5">
        <f>F9*(1-F10)</f>
        <v>15120.000000000002</v>
      </c>
      <c r="G11" s="2"/>
      <c r="H11" s="2"/>
      <c r="I11" s="5">
        <f>I9*(1-I10)</f>
        <v>24119.999999999996</v>
      </c>
      <c r="J11" s="2"/>
      <c r="L11" s="7" t="s">
        <v>59</v>
      </c>
      <c r="M11" s="36">
        <v>3000000</v>
      </c>
    </row>
    <row r="12" spans="1:16" ht="15" thickBot="1">
      <c r="A12" t="s">
        <v>60</v>
      </c>
      <c r="B12" s="2"/>
      <c r="C12" s="8">
        <f>D12*C11</f>
        <v>6017760</v>
      </c>
      <c r="D12" s="9">
        <v>199</v>
      </c>
      <c r="F12" s="10">
        <f>G12*F11</f>
        <v>4520880.0000000009</v>
      </c>
      <c r="G12" s="9">
        <v>299</v>
      </c>
      <c r="H12" s="12"/>
      <c r="I12" s="10">
        <f>J12*I11</f>
        <v>6005879.9999999991</v>
      </c>
      <c r="J12" s="9">
        <v>249</v>
      </c>
      <c r="L12" s="7" t="s">
        <v>61</v>
      </c>
      <c r="M12" s="36">
        <f>M11/15</f>
        <v>200000</v>
      </c>
    </row>
    <row r="13" spans="1:16">
      <c r="A13" t="s">
        <v>62</v>
      </c>
      <c r="B13" s="11">
        <v>0.12</v>
      </c>
      <c r="C13" s="8">
        <f>C12-C14</f>
        <v>644760.00000000093</v>
      </c>
      <c r="D13" s="12">
        <f>C13/$C$11</f>
        <v>21.321428571428601</v>
      </c>
      <c r="F13" s="10">
        <f>F12-F14</f>
        <v>484380.00000000047</v>
      </c>
      <c r="G13" s="12">
        <f>F13/$F$11</f>
        <v>32.035714285714313</v>
      </c>
      <c r="H13" s="12"/>
      <c r="I13" s="10">
        <f>I12-I14</f>
        <v>643487.14285714366</v>
      </c>
      <c r="J13" s="12">
        <f>I13/$F$11</f>
        <v>42.558673469387806</v>
      </c>
      <c r="K13" t="s">
        <v>63</v>
      </c>
      <c r="L13" s="7" t="s">
        <v>64</v>
      </c>
      <c r="M13" s="36">
        <f>(M10+M11)*4%</f>
        <v>138000</v>
      </c>
    </row>
    <row r="14" spans="1:16">
      <c r="A14" t="s">
        <v>65</v>
      </c>
      <c r="B14" s="2"/>
      <c r="C14" s="8">
        <f>C12/1.12</f>
        <v>5372999.9999999991</v>
      </c>
      <c r="D14" s="12">
        <f>C14/$C$11</f>
        <v>177.67857142857139</v>
      </c>
      <c r="E14" s="13"/>
      <c r="F14" s="10">
        <f>F12/1.12</f>
        <v>4036500.0000000005</v>
      </c>
      <c r="G14" s="12">
        <f>F14/$F$11</f>
        <v>266.96428571428572</v>
      </c>
      <c r="H14" s="12"/>
      <c r="I14" s="10">
        <f>I12/1.12</f>
        <v>5362392.8571428554</v>
      </c>
      <c r="J14" s="12">
        <f>I14/$F$11</f>
        <v>354.65561224489778</v>
      </c>
      <c r="L14" s="7" t="s">
        <v>66</v>
      </c>
      <c r="M14" s="36">
        <f>300000/15</f>
        <v>20000</v>
      </c>
    </row>
    <row r="15" spans="1:16" ht="15" thickBot="1">
      <c r="A15" t="s">
        <v>67</v>
      </c>
      <c r="B15" s="11">
        <v>0.35</v>
      </c>
      <c r="C15" s="8">
        <f>C14*0.35</f>
        <v>1880549.9999999995</v>
      </c>
      <c r="D15" s="12">
        <f>C15/$C$11</f>
        <v>62.187499999999986</v>
      </c>
      <c r="F15" s="10">
        <f>F14*0.35</f>
        <v>1412775</v>
      </c>
      <c r="G15" s="12">
        <f>F15/$F$11</f>
        <v>93.437499999999986</v>
      </c>
      <c r="H15" s="12"/>
      <c r="I15" s="10">
        <f>I14*0.35</f>
        <v>1876837.4999999993</v>
      </c>
      <c r="J15" s="12">
        <f>I15/$F$11</f>
        <v>124.12946428571422</v>
      </c>
      <c r="K15" t="s">
        <v>68</v>
      </c>
      <c r="L15" s="14" t="s">
        <v>2</v>
      </c>
      <c r="M15" s="61">
        <f>SUM(M12:M14)</f>
        <v>358000</v>
      </c>
      <c r="O15" s="62"/>
    </row>
    <row r="16" spans="1:16">
      <c r="A16" t="s">
        <v>69</v>
      </c>
      <c r="B16" s="2"/>
      <c r="C16" s="8">
        <f>C14-C15</f>
        <v>3492449.9999999995</v>
      </c>
      <c r="D16" s="12">
        <f>C16/$C$11</f>
        <v>115.49107142857142</v>
      </c>
      <c r="F16" s="10">
        <f>F14-F15</f>
        <v>2623725.0000000005</v>
      </c>
      <c r="G16" s="12">
        <f>F16/$F$11</f>
        <v>173.52678571428572</v>
      </c>
      <c r="H16" s="12"/>
      <c r="I16" s="10">
        <f>I14-I15</f>
        <v>3485555.3571428563</v>
      </c>
      <c r="J16" s="12">
        <f>I16/$F$11</f>
        <v>230.52614795918359</v>
      </c>
      <c r="O16" s="63"/>
    </row>
    <row r="17" spans="1:11">
      <c r="B17" s="2"/>
      <c r="D17" s="15"/>
      <c r="F17" s="16"/>
      <c r="G17" s="15"/>
      <c r="H17" s="15"/>
      <c r="I17" s="16"/>
      <c r="J17" s="15"/>
    </row>
    <row r="18" spans="1:11">
      <c r="A18" s="1" t="s">
        <v>3</v>
      </c>
      <c r="B18" s="5"/>
      <c r="C18" s="2" t="s">
        <v>4</v>
      </c>
      <c r="D18" s="2" t="s">
        <v>46</v>
      </c>
      <c r="F18" s="2" t="s">
        <v>4</v>
      </c>
      <c r="G18" s="2" t="s">
        <v>46</v>
      </c>
      <c r="H18" s="2"/>
      <c r="I18" s="2" t="s">
        <v>4</v>
      </c>
      <c r="J18" s="2" t="s">
        <v>46</v>
      </c>
    </row>
    <row r="19" spans="1:11">
      <c r="A19" t="s">
        <v>5</v>
      </c>
      <c r="B19" s="2"/>
      <c r="C19" s="8">
        <f>(40*10)*70</f>
        <v>28000</v>
      </c>
      <c r="D19" s="12">
        <f t="shared" ref="D19:D33" si="0">C19/$C$11</f>
        <v>0.92592592592592593</v>
      </c>
      <c r="F19" s="10">
        <f>(40*10)*35</f>
        <v>14000</v>
      </c>
      <c r="G19" s="12">
        <f t="shared" ref="G19:G33" si="1">F19/$F$11</f>
        <v>0.92592592592592582</v>
      </c>
      <c r="H19" s="12"/>
      <c r="I19" s="10">
        <f>(40*10)*10</f>
        <v>4000</v>
      </c>
      <c r="J19" s="12">
        <f>I19/$I$11</f>
        <v>0.16583747927031511</v>
      </c>
      <c r="K19" t="s">
        <v>70</v>
      </c>
    </row>
    <row r="20" spans="1:11">
      <c r="A20" t="s">
        <v>71</v>
      </c>
      <c r="B20" s="2"/>
      <c r="C20" s="8">
        <f>(26400*3.5)+((20*150)*2)</f>
        <v>98400</v>
      </c>
      <c r="D20" s="12">
        <f t="shared" si="0"/>
        <v>3.253968253968254</v>
      </c>
      <c r="F20" s="8">
        <f>(26400*3.5)+((20*150)*2)</f>
        <v>98400</v>
      </c>
      <c r="G20" s="12">
        <f t="shared" si="1"/>
        <v>6.507936507936507</v>
      </c>
      <c r="H20" s="12"/>
      <c r="I20" s="8">
        <f>(26400*3.5)+((20*150)*2)</f>
        <v>98400</v>
      </c>
      <c r="J20" s="12">
        <f t="shared" ref="J20:J36" si="2">I20/$I$11</f>
        <v>4.0796019900497518</v>
      </c>
      <c r="K20" t="s">
        <v>72</v>
      </c>
    </row>
    <row r="21" spans="1:11">
      <c r="A21" t="s">
        <v>73</v>
      </c>
      <c r="B21" s="2"/>
      <c r="C21" s="8">
        <f>(2*235)*365</f>
        <v>171550</v>
      </c>
      <c r="D21" s="12">
        <f t="shared" si="0"/>
        <v>5.6729497354497358</v>
      </c>
      <c r="F21" s="10">
        <f>(2*235)*365</f>
        <v>171550</v>
      </c>
      <c r="G21" s="12">
        <f t="shared" si="1"/>
        <v>11.34589947089947</v>
      </c>
      <c r="H21" s="12"/>
      <c r="I21" s="10">
        <f>(2*235)*365</f>
        <v>171550</v>
      </c>
      <c r="J21" s="12">
        <f t="shared" si="2"/>
        <v>7.1123548922056399</v>
      </c>
      <c r="K21" t="s">
        <v>74</v>
      </c>
    </row>
    <row r="22" spans="1:11">
      <c r="A22" t="s">
        <v>75</v>
      </c>
      <c r="B22" s="2"/>
      <c r="C22" s="8">
        <f>(1*235)*365</f>
        <v>85775</v>
      </c>
      <c r="D22" s="12">
        <f>C22/$C$11</f>
        <v>2.8364748677248679</v>
      </c>
      <c r="F22" s="10">
        <f>(1*235)*365</f>
        <v>85775</v>
      </c>
      <c r="G22" s="12">
        <f>F22/$F$11</f>
        <v>5.6729497354497349</v>
      </c>
      <c r="H22" s="12"/>
      <c r="I22" s="10">
        <f>(1*235)*365</f>
        <v>85775</v>
      </c>
      <c r="J22" s="12">
        <f t="shared" si="2"/>
        <v>3.5561774461028199</v>
      </c>
      <c r="K22" t="s">
        <v>76</v>
      </c>
    </row>
    <row r="23" spans="1:11">
      <c r="A23" t="s">
        <v>77</v>
      </c>
      <c r="B23" s="2"/>
      <c r="C23" s="8">
        <f>(0*235)*365</f>
        <v>0</v>
      </c>
      <c r="D23" s="12">
        <f>C23/$C$11</f>
        <v>0</v>
      </c>
      <c r="F23" s="10">
        <f>(1*235)*365</f>
        <v>85775</v>
      </c>
      <c r="G23" s="12">
        <f>F23/$F$11</f>
        <v>5.6729497354497349</v>
      </c>
      <c r="H23" s="12"/>
      <c r="I23" s="10">
        <v>0</v>
      </c>
      <c r="J23" s="12">
        <f t="shared" si="2"/>
        <v>0</v>
      </c>
      <c r="K23" t="s">
        <v>78</v>
      </c>
    </row>
    <row r="24" spans="1:11">
      <c r="A24" t="s">
        <v>79</v>
      </c>
      <c r="B24" s="2"/>
      <c r="C24" s="8">
        <v>0</v>
      </c>
      <c r="D24" s="12">
        <f>C24/$C$11</f>
        <v>0</v>
      </c>
      <c r="F24" s="10">
        <v>0</v>
      </c>
      <c r="G24" s="12">
        <f>F24/$F$11</f>
        <v>0</v>
      </c>
      <c r="H24" s="12"/>
      <c r="I24" s="10">
        <f>28*I11</f>
        <v>675359.99999999988</v>
      </c>
      <c r="J24" s="12">
        <f t="shared" si="2"/>
        <v>28</v>
      </c>
      <c r="K24" t="s">
        <v>80</v>
      </c>
    </row>
    <row r="25" spans="1:11">
      <c r="A25" t="s">
        <v>6</v>
      </c>
      <c r="B25" s="2"/>
      <c r="C25" s="8">
        <f>13*40000</f>
        <v>520000</v>
      </c>
      <c r="D25" s="12">
        <f t="shared" si="0"/>
        <v>17.195767195767196</v>
      </c>
      <c r="F25" s="10">
        <f>13*40000</f>
        <v>520000</v>
      </c>
      <c r="G25" s="12">
        <f t="shared" si="1"/>
        <v>34.391534391534385</v>
      </c>
      <c r="H25" s="12"/>
      <c r="I25" s="10">
        <f>13*40000</f>
        <v>520000</v>
      </c>
      <c r="J25" s="12">
        <f t="shared" si="2"/>
        <v>21.558872305140966</v>
      </c>
      <c r="K25" t="s">
        <v>81</v>
      </c>
    </row>
    <row r="26" spans="1:11">
      <c r="A26" t="s">
        <v>82</v>
      </c>
      <c r="B26" s="2"/>
      <c r="C26" s="8">
        <f>(0.75*40000)*1.85</f>
        <v>55500</v>
      </c>
      <c r="D26" s="12">
        <f t="shared" si="0"/>
        <v>1.8353174603174602</v>
      </c>
      <c r="F26" s="10">
        <f>(0.75*40000)*1.85</f>
        <v>55500</v>
      </c>
      <c r="G26" s="12">
        <f t="shared" si="1"/>
        <v>3.67063492063492</v>
      </c>
      <c r="H26" s="12"/>
      <c r="I26" s="10">
        <f>(0.75*40000)*1.85</f>
        <v>55500</v>
      </c>
      <c r="J26" s="12">
        <f t="shared" si="2"/>
        <v>2.3009950248756224</v>
      </c>
      <c r="K26" t="s">
        <v>83</v>
      </c>
    </row>
    <row r="27" spans="1:11">
      <c r="A27" t="s">
        <v>84</v>
      </c>
      <c r="B27" s="2"/>
      <c r="C27" s="8">
        <f>(0.25*40000)*3.2</f>
        <v>32000</v>
      </c>
      <c r="D27" s="12">
        <f t="shared" si="0"/>
        <v>1.0582010582010581</v>
      </c>
      <c r="F27" s="10">
        <f>(0.25*40000)*3.2</f>
        <v>32000</v>
      </c>
      <c r="G27" s="12">
        <f t="shared" si="1"/>
        <v>2.1164021164021163</v>
      </c>
      <c r="H27" s="12"/>
      <c r="I27" s="10">
        <f>(0.25*40000)*3.2</f>
        <v>32000</v>
      </c>
      <c r="J27" s="12">
        <f t="shared" si="2"/>
        <v>1.3266998341625209</v>
      </c>
      <c r="K27" t="s">
        <v>85</v>
      </c>
    </row>
    <row r="28" spans="1:11">
      <c r="A28" t="s">
        <v>7</v>
      </c>
      <c r="B28" s="2"/>
      <c r="C28" s="8">
        <f>(1791*12)+((36000*4.5)*0.192)+((36000*4.5)*0.65+((3600*4.5)*0.332))</f>
        <v>163274.4</v>
      </c>
      <c r="D28" s="12">
        <f>C28/$C$11</f>
        <v>5.399285714285714</v>
      </c>
      <c r="F28" s="8">
        <f>(1791*12)+((36000*4.5)*0.192)+((36000*4.5)*0.65)</f>
        <v>157896</v>
      </c>
      <c r="G28" s="12">
        <f t="shared" si="1"/>
        <v>10.442857142857141</v>
      </c>
      <c r="H28" s="12"/>
      <c r="I28" s="8">
        <f>(1791*12)+((36000*4.5)*0.192)+((36000*4.5)*0.65)</f>
        <v>157896</v>
      </c>
      <c r="J28" s="12">
        <f t="shared" si="2"/>
        <v>6.5462686567164186</v>
      </c>
      <c r="K28" t="s">
        <v>86</v>
      </c>
    </row>
    <row r="29" spans="1:11">
      <c r="A29" t="s">
        <v>87</v>
      </c>
      <c r="B29" s="2"/>
      <c r="C29" s="64">
        <v>7500</v>
      </c>
      <c r="D29" s="12">
        <f t="shared" si="0"/>
        <v>0.24801587301587302</v>
      </c>
      <c r="F29" s="64">
        <v>7500</v>
      </c>
      <c r="G29" s="12">
        <f t="shared" si="1"/>
        <v>0.49603174603174599</v>
      </c>
      <c r="H29" s="12"/>
      <c r="I29" s="64">
        <v>7500</v>
      </c>
      <c r="J29" s="12">
        <f t="shared" si="2"/>
        <v>0.31094527363184082</v>
      </c>
      <c r="K29" t="s">
        <v>88</v>
      </c>
    </row>
    <row r="30" spans="1:11">
      <c r="A30" t="s">
        <v>89</v>
      </c>
      <c r="B30" s="2"/>
      <c r="C30" s="64">
        <f>1500+1500+3620+12500</f>
        <v>19120</v>
      </c>
      <c r="D30" s="12">
        <f t="shared" si="0"/>
        <v>0.63227513227513232</v>
      </c>
      <c r="F30" s="64">
        <f>1500+1500+3620+12500</f>
        <v>19120</v>
      </c>
      <c r="G30" s="12">
        <f t="shared" si="1"/>
        <v>1.2645502645502644</v>
      </c>
      <c r="H30" s="12"/>
      <c r="I30" s="64">
        <f>1500+1500+3620+12500</f>
        <v>19120</v>
      </c>
      <c r="J30" s="12">
        <f t="shared" si="2"/>
        <v>0.7927031509121063</v>
      </c>
      <c r="K30" t="s">
        <v>90</v>
      </c>
    </row>
    <row r="31" spans="1:11">
      <c r="A31" t="s">
        <v>91</v>
      </c>
      <c r="B31" s="2"/>
      <c r="C31" s="64">
        <v>8293</v>
      </c>
      <c r="D31" s="12">
        <f>C31/$C$11</f>
        <v>0.27423941798941798</v>
      </c>
      <c r="F31" s="64">
        <v>8293</v>
      </c>
      <c r="G31" s="12">
        <f t="shared" si="1"/>
        <v>0.54847883597883595</v>
      </c>
      <c r="H31" s="12"/>
      <c r="I31" s="64">
        <v>8293</v>
      </c>
      <c r="J31" s="12">
        <f t="shared" si="2"/>
        <v>0.3438225538971808</v>
      </c>
      <c r="K31" t="s">
        <v>92</v>
      </c>
    </row>
    <row r="32" spans="1:11">
      <c r="A32" t="s">
        <v>93</v>
      </c>
      <c r="B32" s="2" t="s">
        <v>94</v>
      </c>
      <c r="C32" s="64">
        <f>5*536+(3.49*5760)</f>
        <v>22782.400000000001</v>
      </c>
      <c r="D32" s="12">
        <f t="shared" si="0"/>
        <v>0.75338624338624338</v>
      </c>
      <c r="E32" s="2" t="s">
        <v>95</v>
      </c>
      <c r="F32" s="17">
        <f>20*536+(3.49*20880)</f>
        <v>83591.200000000012</v>
      </c>
      <c r="G32" s="12">
        <f t="shared" si="1"/>
        <v>5.5285185185185188</v>
      </c>
      <c r="H32" s="12" t="s">
        <v>94</v>
      </c>
      <c r="I32" s="17">
        <f>20*536+(3.49*5760)</f>
        <v>30822.400000000001</v>
      </c>
      <c r="J32" s="12">
        <f t="shared" si="2"/>
        <v>1.2778772802653402</v>
      </c>
      <c r="K32" t="s">
        <v>96</v>
      </c>
    </row>
    <row r="33" spans="1:11">
      <c r="A33" t="s">
        <v>8</v>
      </c>
      <c r="B33" s="2"/>
      <c r="C33" s="64">
        <v>358000</v>
      </c>
      <c r="D33" s="12">
        <f t="shared" si="0"/>
        <v>11.838624338624339</v>
      </c>
      <c r="F33" s="17">
        <v>358000</v>
      </c>
      <c r="G33" s="12">
        <f t="shared" si="1"/>
        <v>23.677248677248674</v>
      </c>
      <c r="H33" s="12"/>
      <c r="I33" s="17">
        <v>358000</v>
      </c>
      <c r="J33" s="12">
        <f t="shared" si="2"/>
        <v>14.842454394693203</v>
      </c>
    </row>
    <row r="34" spans="1:11">
      <c r="A34" s="1" t="s">
        <v>171</v>
      </c>
      <c r="B34" s="2"/>
      <c r="C34" s="17">
        <f>SUM(C19:C33)</f>
        <v>1570194.7999999998</v>
      </c>
      <c r="D34" s="18">
        <f t="shared" ref="D34:G34" si="3">SUM(D19:D33)</f>
        <v>51.924431216931211</v>
      </c>
      <c r="E34" s="17"/>
      <c r="F34" s="17">
        <f t="shared" si="3"/>
        <v>1697400.2</v>
      </c>
      <c r="G34" s="18">
        <f t="shared" si="3"/>
        <v>112.26191798941798</v>
      </c>
      <c r="H34" s="18"/>
      <c r="I34" s="17">
        <f>SUM(I19:I33)</f>
        <v>2224216.4</v>
      </c>
      <c r="J34" s="12">
        <f t="shared" si="2"/>
        <v>92.214610281923726</v>
      </c>
    </row>
    <row r="35" spans="1:11">
      <c r="A35" t="s">
        <v>9</v>
      </c>
      <c r="B35" s="2"/>
      <c r="C35" s="17">
        <v>130000</v>
      </c>
      <c r="D35" s="18">
        <f t="shared" ref="D35:G35" si="4">(0.1*D34)-0.1*(D21+D22+D23)</f>
        <v>4.3415006613756608</v>
      </c>
      <c r="E35" s="17"/>
      <c r="F35" s="17">
        <f t="shared" si="4"/>
        <v>135430.02000000002</v>
      </c>
      <c r="G35" s="18">
        <f t="shared" si="4"/>
        <v>8.9570119047619041</v>
      </c>
      <c r="H35" s="18"/>
      <c r="I35" s="17">
        <f>(0.1*I34)-0.1*(I21+I22+I23)</f>
        <v>196689.14</v>
      </c>
      <c r="J35" s="12">
        <f t="shared" si="2"/>
        <v>8.1546077943615281</v>
      </c>
      <c r="K35" t="s">
        <v>172</v>
      </c>
    </row>
    <row r="36" spans="1:11">
      <c r="A36" s="1" t="s">
        <v>2</v>
      </c>
      <c r="B36" s="2"/>
      <c r="C36" s="8">
        <f>SUM(C34:C35)</f>
        <v>1700194.7999999998</v>
      </c>
      <c r="D36" s="12">
        <f>SUM(D34:D35)</f>
        <v>56.265931878306873</v>
      </c>
      <c r="E36" s="8"/>
      <c r="F36" s="8">
        <f>SUM(F34:F35)</f>
        <v>1832830.22</v>
      </c>
      <c r="G36" s="12">
        <f>SUM(G34:G35)</f>
        <v>121.21892989417988</v>
      </c>
      <c r="H36" s="12"/>
      <c r="I36" s="8">
        <f>SUM(I34:I35)</f>
        <v>2420905.54</v>
      </c>
      <c r="J36" s="12">
        <f t="shared" si="2"/>
        <v>100.36921807628525</v>
      </c>
    </row>
    <row r="37" spans="1:11">
      <c r="B37" s="2"/>
      <c r="D37" s="12"/>
      <c r="G37" s="12"/>
      <c r="H37" s="12"/>
      <c r="J37" s="12"/>
    </row>
    <row r="38" spans="1:11">
      <c r="A38" s="1" t="s">
        <v>11</v>
      </c>
      <c r="B38" s="2"/>
      <c r="C38" s="8">
        <f>C16-C36</f>
        <v>1792255.1999999997</v>
      </c>
      <c r="D38" s="12">
        <f>D16-D36</f>
        <v>59.225139550264544</v>
      </c>
      <c r="E38" s="8"/>
      <c r="F38" s="8">
        <f>F16-F36</f>
        <v>790894.78000000049</v>
      </c>
      <c r="G38" s="12">
        <f>G16-G36</f>
        <v>52.307855820105843</v>
      </c>
      <c r="H38" s="12"/>
      <c r="I38" s="8">
        <f>I16-I36</f>
        <v>1064649.8171428563</v>
      </c>
      <c r="J38" s="12">
        <f>J16-J36</f>
        <v>130.15692988289834</v>
      </c>
    </row>
    <row r="39" spans="1:11">
      <c r="B39" s="2"/>
      <c r="D39" s="19"/>
      <c r="F39" s="16"/>
      <c r="G39" s="19"/>
      <c r="H39" s="19"/>
      <c r="I39" s="16"/>
      <c r="J39" s="19"/>
    </row>
    <row r="40" spans="1:11">
      <c r="A40" s="1" t="s">
        <v>174</v>
      </c>
      <c r="B40" s="2"/>
      <c r="C40" s="15"/>
      <c r="D40" s="15">
        <f>(D36/0.65)*1.12</f>
        <v>96.95052877492877</v>
      </c>
      <c r="E40" s="15"/>
      <c r="F40" s="65"/>
      <c r="G40" s="15">
        <f>(G36/0.65)*1.12</f>
        <v>208.86954074074072</v>
      </c>
      <c r="H40" s="15"/>
      <c r="I40" s="65"/>
      <c r="J40" s="15">
        <f>(J36/0.65)*1.12</f>
        <v>172.94388345452228</v>
      </c>
    </row>
    <row r="41" spans="1:11">
      <c r="B41" s="2"/>
      <c r="D41" s="2"/>
      <c r="F41" s="16"/>
      <c r="G41" s="2"/>
      <c r="H41" s="2"/>
      <c r="I41" s="2"/>
      <c r="J41" s="2"/>
    </row>
  </sheetData>
  <sheetProtection password="DF1D" sheet="1" objects="1" scenarios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3" workbookViewId="0">
      <selection activeCell="J40" sqref="J40"/>
    </sheetView>
  </sheetViews>
  <sheetFormatPr baseColWidth="10" defaultColWidth="8.83203125" defaultRowHeight="14" x14ac:dyDescent="0"/>
  <cols>
    <col min="3" max="3" width="11" bestFit="1" customWidth="1"/>
    <col min="6" max="6" width="12.83203125" bestFit="1" customWidth="1"/>
    <col min="9" max="9" width="13.5" bestFit="1" customWidth="1"/>
    <col min="16" max="16" width="38.5" bestFit="1" customWidth="1"/>
    <col min="17" max="17" width="13.6640625" bestFit="1" customWidth="1"/>
  </cols>
  <sheetData>
    <row r="1" spans="1:19" ht="19">
      <c r="A1" s="44" t="s">
        <v>98</v>
      </c>
      <c r="B1" s="67"/>
      <c r="C1" s="46"/>
      <c r="D1" s="2"/>
      <c r="F1" s="16"/>
      <c r="G1" s="2"/>
      <c r="H1" s="2"/>
      <c r="I1" s="2"/>
      <c r="J1" s="2"/>
      <c r="R1" s="16"/>
    </row>
    <row r="2" spans="1:19" ht="19">
      <c r="A2" s="44" t="s">
        <v>99</v>
      </c>
      <c r="B2" s="50"/>
      <c r="C2" s="48"/>
      <c r="D2" s="3"/>
      <c r="E2" s="1"/>
      <c r="F2" s="49"/>
      <c r="G2" s="3"/>
      <c r="H2" s="3"/>
      <c r="I2" s="3"/>
      <c r="J2" s="3"/>
      <c r="K2" s="1"/>
      <c r="L2" s="1"/>
      <c r="M2" s="1"/>
      <c r="N2" s="1"/>
      <c r="O2" s="1"/>
      <c r="P2" s="1"/>
      <c r="Q2" s="1"/>
      <c r="R2" s="49"/>
      <c r="S2" s="1"/>
    </row>
    <row r="3" spans="1:19" ht="15" thickBot="1">
      <c r="A3" s="1"/>
      <c r="B3" s="3"/>
      <c r="C3" s="1"/>
      <c r="D3" s="3"/>
      <c r="E3" s="1"/>
      <c r="F3" s="49"/>
      <c r="G3" s="3"/>
      <c r="H3" s="3"/>
      <c r="I3" s="3"/>
      <c r="J3" s="3"/>
      <c r="K3" s="1"/>
      <c r="L3" s="1"/>
      <c r="M3" s="1"/>
      <c r="N3" s="1"/>
      <c r="O3" s="1"/>
      <c r="P3" s="1"/>
      <c r="Q3" s="1"/>
      <c r="R3" s="49"/>
      <c r="S3" s="1"/>
    </row>
    <row r="4" spans="1:19">
      <c r="A4" s="25" t="s">
        <v>23</v>
      </c>
      <c r="B4" s="70"/>
      <c r="C4" s="71"/>
      <c r="D4" s="70"/>
      <c r="E4" s="71"/>
      <c r="F4" s="72"/>
      <c r="G4" s="70"/>
      <c r="H4" s="70"/>
      <c r="I4" s="70"/>
      <c r="J4" s="70"/>
      <c r="K4" s="71"/>
      <c r="L4" s="71"/>
      <c r="M4" s="71"/>
      <c r="N4" s="71"/>
      <c r="O4" s="71"/>
      <c r="P4" s="54"/>
      <c r="Q4" s="1"/>
      <c r="R4" s="49"/>
      <c r="S4" s="1"/>
    </row>
    <row r="5" spans="1:19" ht="15" thickBot="1">
      <c r="A5" s="26" t="s">
        <v>24</v>
      </c>
      <c r="B5" s="73"/>
      <c r="C5" s="74"/>
      <c r="D5" s="73"/>
      <c r="E5" s="74"/>
      <c r="F5" s="75"/>
      <c r="G5" s="73"/>
      <c r="H5" s="73"/>
      <c r="I5" s="73"/>
      <c r="J5" s="73"/>
      <c r="K5" s="74"/>
      <c r="L5" s="74"/>
      <c r="M5" s="74"/>
      <c r="N5" s="74"/>
      <c r="O5" s="74"/>
      <c r="P5" s="58"/>
      <c r="Q5" s="1"/>
      <c r="R5" s="49"/>
      <c r="S5" s="1"/>
    </row>
    <row r="6" spans="1:19">
      <c r="A6" s="1"/>
      <c r="B6" s="3"/>
      <c r="C6" s="1"/>
      <c r="D6" s="3"/>
      <c r="E6" s="1"/>
      <c r="F6" s="49"/>
      <c r="G6" s="3"/>
      <c r="H6" s="3"/>
      <c r="I6" s="3"/>
      <c r="J6" s="3"/>
      <c r="K6" s="1"/>
      <c r="L6" s="1"/>
      <c r="M6" s="1"/>
      <c r="N6" s="1"/>
      <c r="O6" s="1"/>
      <c r="P6" s="1"/>
      <c r="Q6" s="1"/>
      <c r="R6" s="49"/>
      <c r="S6" s="1"/>
    </row>
    <row r="7" spans="1:19" ht="15" thickBot="1">
      <c r="A7" s="1"/>
      <c r="B7" s="3"/>
      <c r="C7" s="1"/>
      <c r="D7" s="3"/>
      <c r="E7" s="1"/>
      <c r="F7" s="49"/>
      <c r="G7" s="3"/>
      <c r="H7" s="3"/>
      <c r="I7" s="3"/>
      <c r="J7" s="3"/>
      <c r="K7" s="1"/>
      <c r="L7" s="1"/>
      <c r="M7" s="1"/>
      <c r="N7" s="1"/>
      <c r="O7" s="1"/>
      <c r="P7" s="1"/>
      <c r="Q7" s="1"/>
      <c r="R7" s="49"/>
      <c r="S7" s="1"/>
    </row>
    <row r="8" spans="1:19" ht="15" thickBot="1">
      <c r="A8" s="1" t="s">
        <v>0</v>
      </c>
      <c r="B8" s="2"/>
      <c r="C8" s="1" t="s">
        <v>45</v>
      </c>
      <c r="D8" s="3" t="s">
        <v>46</v>
      </c>
      <c r="E8" s="1"/>
      <c r="F8" s="49" t="s">
        <v>47</v>
      </c>
      <c r="G8" s="3" t="s">
        <v>48</v>
      </c>
      <c r="H8" s="3"/>
      <c r="I8" s="3" t="s">
        <v>49</v>
      </c>
      <c r="J8" s="3" t="s">
        <v>50</v>
      </c>
      <c r="K8" s="1" t="s">
        <v>51</v>
      </c>
      <c r="P8" s="4" t="s">
        <v>52</v>
      </c>
      <c r="Q8" s="20"/>
      <c r="R8" s="16"/>
    </row>
    <row r="9" spans="1:19">
      <c r="A9" t="s">
        <v>53</v>
      </c>
      <c r="B9" s="2"/>
      <c r="C9" s="5">
        <v>25000</v>
      </c>
      <c r="D9" s="2"/>
      <c r="F9" s="76">
        <v>25000</v>
      </c>
      <c r="G9" s="2"/>
      <c r="H9" s="2"/>
      <c r="I9" s="2">
        <v>25000</v>
      </c>
      <c r="J9" s="2"/>
      <c r="K9" t="s">
        <v>100</v>
      </c>
      <c r="P9" s="6" t="s">
        <v>55</v>
      </c>
      <c r="Q9" s="21">
        <v>0</v>
      </c>
      <c r="R9" s="16"/>
    </row>
    <row r="10" spans="1:19">
      <c r="A10" t="s">
        <v>56</v>
      </c>
      <c r="B10" s="2"/>
      <c r="C10" s="59">
        <v>0.16</v>
      </c>
      <c r="D10" s="2"/>
      <c r="F10" s="77">
        <v>0.57999999999999996</v>
      </c>
      <c r="G10" s="2"/>
      <c r="H10" s="2"/>
      <c r="I10" s="11">
        <v>0.56000000000000005</v>
      </c>
      <c r="J10" s="2"/>
      <c r="K10" t="s">
        <v>57</v>
      </c>
      <c r="P10" s="7" t="s">
        <v>1</v>
      </c>
      <c r="Q10" s="36">
        <v>300000</v>
      </c>
      <c r="R10" s="16"/>
    </row>
    <row r="11" spans="1:19" ht="15" thickBot="1">
      <c r="A11" t="s">
        <v>58</v>
      </c>
      <c r="B11" s="2"/>
      <c r="C11" s="5">
        <f>C9*(1-C10)</f>
        <v>21000</v>
      </c>
      <c r="D11" s="5"/>
      <c r="E11" s="5"/>
      <c r="F11" s="76">
        <f>F9*(1-F10)</f>
        <v>10500.000000000002</v>
      </c>
      <c r="G11" s="2"/>
      <c r="H11" s="2"/>
      <c r="I11" s="2">
        <v>11000</v>
      </c>
      <c r="J11" s="2"/>
      <c r="P11" s="7" t="s">
        <v>59</v>
      </c>
      <c r="Q11" s="36">
        <v>2000000</v>
      </c>
      <c r="R11" s="16"/>
    </row>
    <row r="12" spans="1:19" ht="15" thickBot="1">
      <c r="A12" t="s">
        <v>60</v>
      </c>
      <c r="B12" s="2"/>
      <c r="C12" s="8">
        <f>D12*C11</f>
        <v>4179000</v>
      </c>
      <c r="D12" s="9">
        <v>199</v>
      </c>
      <c r="F12" s="10">
        <f>G12*F11</f>
        <v>3139500.0000000005</v>
      </c>
      <c r="G12" s="9">
        <v>299</v>
      </c>
      <c r="H12" s="12"/>
      <c r="I12" s="10">
        <f>J12*I11</f>
        <v>4389000</v>
      </c>
      <c r="J12" s="9">
        <v>399</v>
      </c>
      <c r="P12" s="7" t="s">
        <v>61</v>
      </c>
      <c r="Q12" s="36">
        <f>Q11/15</f>
        <v>133333.33333333334</v>
      </c>
      <c r="R12" s="16"/>
    </row>
    <row r="13" spans="1:19">
      <c r="A13" t="s">
        <v>62</v>
      </c>
      <c r="B13" s="11">
        <v>0.12</v>
      </c>
      <c r="C13" s="8">
        <f>C12-C14</f>
        <v>447750.00000000047</v>
      </c>
      <c r="D13" s="12">
        <f>C13/$C$11</f>
        <v>21.321428571428594</v>
      </c>
      <c r="F13" s="10">
        <f>F12-F14</f>
        <v>336375.00000000047</v>
      </c>
      <c r="G13" s="12">
        <f>F13/$F$11</f>
        <v>32.035714285714327</v>
      </c>
      <c r="H13" s="12"/>
      <c r="I13" s="10">
        <f>I12-I14</f>
        <v>470250.00000000047</v>
      </c>
      <c r="J13" s="12">
        <f>I13/$F$11</f>
        <v>44.78571428571432</v>
      </c>
      <c r="P13" s="7" t="s">
        <v>64</v>
      </c>
      <c r="Q13" s="36">
        <f>(Q10+Q11)*4%</f>
        <v>92000</v>
      </c>
      <c r="R13" s="16"/>
    </row>
    <row r="14" spans="1:19">
      <c r="A14" t="s">
        <v>65</v>
      </c>
      <c r="B14" s="2"/>
      <c r="C14" s="8">
        <f>C12/1.12</f>
        <v>3731249.9999999995</v>
      </c>
      <c r="D14" s="12">
        <f>C14/$C$11</f>
        <v>177.67857142857142</v>
      </c>
      <c r="F14" s="10">
        <f>F12/1.12</f>
        <v>2803125</v>
      </c>
      <c r="G14" s="12">
        <f>F14/$F$11</f>
        <v>266.96428571428567</v>
      </c>
      <c r="H14" s="12"/>
      <c r="I14" s="10">
        <f>I12/1.12</f>
        <v>3918749.9999999995</v>
      </c>
      <c r="J14" s="12">
        <f>I14/$F$11</f>
        <v>373.21428571428561</v>
      </c>
      <c r="P14" s="7" t="s">
        <v>66</v>
      </c>
      <c r="Q14" s="36">
        <f>300000/15</f>
        <v>20000</v>
      </c>
      <c r="R14" s="16"/>
    </row>
    <row r="15" spans="1:19">
      <c r="A15" t="s">
        <v>67</v>
      </c>
      <c r="B15" s="11">
        <v>0.35</v>
      </c>
      <c r="C15" s="8">
        <f>C14*0.35</f>
        <v>1305937.4999999998</v>
      </c>
      <c r="D15" s="12">
        <f>C15/$C$11</f>
        <v>62.187499999999986</v>
      </c>
      <c r="F15" s="10">
        <f>F14*0.35</f>
        <v>981093.74999999988</v>
      </c>
      <c r="G15" s="12">
        <f>F15/$F$11</f>
        <v>93.437499999999972</v>
      </c>
      <c r="H15" s="12"/>
      <c r="I15" s="10">
        <f>I14*0.35</f>
        <v>1371562.4999999998</v>
      </c>
      <c r="J15" s="12">
        <f>I15/$F$11</f>
        <v>130.62499999999994</v>
      </c>
      <c r="K15" t="s">
        <v>68</v>
      </c>
      <c r="O15" s="62"/>
      <c r="P15" s="78" t="s">
        <v>101</v>
      </c>
      <c r="Q15" s="79">
        <f>(Q10+Q11)*0.025</f>
        <v>57500</v>
      </c>
      <c r="R15" s="16"/>
    </row>
    <row r="16" spans="1:19" ht="15" thickBot="1">
      <c r="A16" t="s">
        <v>69</v>
      </c>
      <c r="B16" s="2"/>
      <c r="C16" s="8">
        <f>C14-C15</f>
        <v>2425312.5</v>
      </c>
      <c r="D16" s="12">
        <f>C16/$C$11</f>
        <v>115.49107142857143</v>
      </c>
      <c r="F16" s="10">
        <f>F14-F15</f>
        <v>1822031.25</v>
      </c>
      <c r="G16" s="12">
        <f>F16/$F$11</f>
        <v>173.52678571428569</v>
      </c>
      <c r="H16" s="12"/>
      <c r="I16" s="10">
        <f>I14-I15</f>
        <v>2547187.5</v>
      </c>
      <c r="J16" s="12">
        <f>I16/$F$11</f>
        <v>242.58928571428567</v>
      </c>
      <c r="O16" s="63"/>
      <c r="P16" s="14" t="s">
        <v>2</v>
      </c>
      <c r="Q16" s="61">
        <f>SUM(Q12:Q15)</f>
        <v>302833.33333333337</v>
      </c>
      <c r="R16" s="16"/>
    </row>
    <row r="17" spans="1:18">
      <c r="B17" s="2"/>
      <c r="D17" s="15"/>
      <c r="F17" s="16"/>
      <c r="G17" s="15"/>
      <c r="H17" s="15"/>
      <c r="I17" s="15"/>
      <c r="J17" s="15"/>
      <c r="R17" s="16"/>
    </row>
    <row r="18" spans="1:18">
      <c r="A18" s="1" t="s">
        <v>3</v>
      </c>
      <c r="B18" s="2"/>
      <c r="C18" t="s">
        <v>4</v>
      </c>
      <c r="D18" s="2" t="s">
        <v>46</v>
      </c>
      <c r="F18" s="16" t="s">
        <v>4</v>
      </c>
      <c r="G18" s="2" t="s">
        <v>46</v>
      </c>
      <c r="H18" s="2"/>
      <c r="I18" s="16" t="s">
        <v>4</v>
      </c>
      <c r="J18" s="2" t="s">
        <v>46</v>
      </c>
      <c r="R18" s="16"/>
    </row>
    <row r="19" spans="1:18">
      <c r="A19" t="s">
        <v>5</v>
      </c>
      <c r="B19" s="2"/>
      <c r="C19" s="8">
        <f>(40*10)*50</f>
        <v>20000</v>
      </c>
      <c r="D19" s="12">
        <f t="shared" ref="D19:D33" si="0">C19/$C$11</f>
        <v>0.95238095238095233</v>
      </c>
      <c r="F19" s="10">
        <f>(40*10)*25</f>
        <v>10000</v>
      </c>
      <c r="G19" s="12">
        <f t="shared" ref="G19:G33" si="1">F19/$F$11</f>
        <v>0.95238095238095222</v>
      </c>
      <c r="H19" s="12"/>
      <c r="I19" s="10">
        <f>(40*10)*10</f>
        <v>4000</v>
      </c>
      <c r="J19" s="12">
        <f>I19/$I$11</f>
        <v>0.36363636363636365</v>
      </c>
      <c r="K19" t="s">
        <v>70</v>
      </c>
      <c r="R19" s="16"/>
    </row>
    <row r="20" spans="1:18">
      <c r="A20" t="s">
        <v>102</v>
      </c>
      <c r="B20" s="2"/>
      <c r="C20" s="8">
        <f>(30000*1)+(28000*3)</f>
        <v>114000</v>
      </c>
      <c r="D20" s="12">
        <f t="shared" si="0"/>
        <v>5.4285714285714288</v>
      </c>
      <c r="F20" s="8">
        <f>(30000*1)+(28000*3)</f>
        <v>114000</v>
      </c>
      <c r="G20" s="12">
        <f t="shared" si="1"/>
        <v>10.857142857142856</v>
      </c>
      <c r="H20" s="12"/>
      <c r="I20" s="8">
        <f>(30000*1)+(28000*3)</f>
        <v>114000</v>
      </c>
      <c r="J20" s="12">
        <f t="shared" ref="J20:J38" si="2">I20/$I$11</f>
        <v>10.363636363636363</v>
      </c>
      <c r="K20" t="s">
        <v>103</v>
      </c>
      <c r="R20" s="16"/>
    </row>
    <row r="21" spans="1:18">
      <c r="A21" t="s">
        <v>73</v>
      </c>
      <c r="B21" s="2"/>
      <c r="C21" s="8">
        <f>(2*235)*365</f>
        <v>171550</v>
      </c>
      <c r="D21" s="12">
        <f t="shared" si="0"/>
        <v>8.1690476190476193</v>
      </c>
      <c r="F21" s="10">
        <f>(2*235)*365</f>
        <v>171550</v>
      </c>
      <c r="G21" s="12">
        <f t="shared" si="1"/>
        <v>16.338095238095235</v>
      </c>
      <c r="H21" s="12"/>
      <c r="I21" s="10">
        <f>(2*235)*365</f>
        <v>171550</v>
      </c>
      <c r="J21" s="12">
        <f t="shared" si="2"/>
        <v>15.595454545454546</v>
      </c>
      <c r="K21" t="s">
        <v>104</v>
      </c>
      <c r="R21" s="16"/>
    </row>
    <row r="22" spans="1:18">
      <c r="A22" t="s">
        <v>75</v>
      </c>
      <c r="B22" s="2"/>
      <c r="C22" s="8">
        <f>(1*235)*365</f>
        <v>85775</v>
      </c>
      <c r="D22" s="12">
        <f>C22/$C$11</f>
        <v>4.0845238095238097</v>
      </c>
      <c r="F22" s="10">
        <f>(1*235)*365</f>
        <v>85775</v>
      </c>
      <c r="G22" s="12">
        <f>F22/$F$11</f>
        <v>8.1690476190476176</v>
      </c>
      <c r="H22" s="12"/>
      <c r="I22" s="10">
        <f>(1*235)*365</f>
        <v>85775</v>
      </c>
      <c r="J22" s="12">
        <f t="shared" si="2"/>
        <v>7.7977272727272728</v>
      </c>
      <c r="K22" t="s">
        <v>78</v>
      </c>
      <c r="R22" s="16"/>
    </row>
    <row r="23" spans="1:18">
      <c r="A23" t="s">
        <v>105</v>
      </c>
      <c r="B23" s="2"/>
      <c r="C23" s="8">
        <f>(0*235)*365</f>
        <v>0</v>
      </c>
      <c r="D23" s="12">
        <f>C23/$C$11</f>
        <v>0</v>
      </c>
      <c r="F23" s="10">
        <f>(1*235)*365</f>
        <v>85775</v>
      </c>
      <c r="G23" s="12">
        <f>F23/$F$11</f>
        <v>8.1690476190476176</v>
      </c>
      <c r="H23" s="12"/>
      <c r="I23" s="10">
        <f>(1*235)*365</f>
        <v>85775</v>
      </c>
      <c r="J23" s="12">
        <f t="shared" si="2"/>
        <v>7.7977272727272728</v>
      </c>
      <c r="K23" t="s">
        <v>78</v>
      </c>
      <c r="R23" s="16"/>
    </row>
    <row r="24" spans="1:18">
      <c r="A24" t="s">
        <v>79</v>
      </c>
      <c r="B24" s="2"/>
      <c r="C24" s="8">
        <v>0</v>
      </c>
      <c r="D24" s="12">
        <f>C24/$C$11</f>
        <v>0</v>
      </c>
      <c r="F24" s="10">
        <v>0</v>
      </c>
      <c r="G24" s="12">
        <f>F24/$F$11</f>
        <v>0</v>
      </c>
      <c r="H24" s="12"/>
      <c r="I24" s="10">
        <f>28*I11</f>
        <v>308000</v>
      </c>
      <c r="J24" s="12">
        <f t="shared" si="2"/>
        <v>28</v>
      </c>
      <c r="K24" t="s">
        <v>106</v>
      </c>
      <c r="R24" s="16"/>
    </row>
    <row r="25" spans="1:18">
      <c r="A25" t="s">
        <v>107</v>
      </c>
      <c r="B25" s="2"/>
      <c r="C25" s="8">
        <f>13*40000</f>
        <v>520000</v>
      </c>
      <c r="D25" s="12">
        <f t="shared" si="0"/>
        <v>24.761904761904763</v>
      </c>
      <c r="F25" s="10">
        <f>13*40000</f>
        <v>520000</v>
      </c>
      <c r="G25" s="12">
        <f t="shared" si="1"/>
        <v>49.523809523809518</v>
      </c>
      <c r="H25" s="12"/>
      <c r="I25" s="10">
        <f>13*40000</f>
        <v>520000</v>
      </c>
      <c r="J25" s="12">
        <f t="shared" si="2"/>
        <v>47.272727272727273</v>
      </c>
      <c r="K25" t="s">
        <v>108</v>
      </c>
      <c r="R25" s="16"/>
    </row>
    <row r="26" spans="1:18">
      <c r="A26" t="s">
        <v>82</v>
      </c>
      <c r="B26" s="2"/>
      <c r="C26" s="8">
        <v>0</v>
      </c>
      <c r="D26" s="12">
        <f t="shared" si="0"/>
        <v>0</v>
      </c>
      <c r="F26" s="10">
        <v>0</v>
      </c>
      <c r="G26" s="12">
        <f t="shared" si="1"/>
        <v>0</v>
      </c>
      <c r="H26" s="12"/>
      <c r="I26" s="10">
        <v>0</v>
      </c>
      <c r="J26" s="12">
        <f t="shared" si="2"/>
        <v>0</v>
      </c>
      <c r="R26" s="16"/>
    </row>
    <row r="27" spans="1:18">
      <c r="A27" t="s">
        <v>84</v>
      </c>
      <c r="B27" s="2"/>
      <c r="C27" s="8">
        <f>(0.25*40000)*3.2</f>
        <v>32000</v>
      </c>
      <c r="D27" s="12">
        <f t="shared" si="0"/>
        <v>1.5238095238095237</v>
      </c>
      <c r="F27" s="10">
        <f>(0.25*40000)*3.2</f>
        <v>32000</v>
      </c>
      <c r="G27" s="12">
        <f t="shared" si="1"/>
        <v>3.047619047619047</v>
      </c>
      <c r="H27" s="12"/>
      <c r="I27" s="10">
        <f>(0.25*40000)*3.2</f>
        <v>32000</v>
      </c>
      <c r="J27" s="12">
        <f t="shared" si="2"/>
        <v>2.9090909090909092</v>
      </c>
      <c r="K27" t="s">
        <v>85</v>
      </c>
      <c r="R27" s="16"/>
    </row>
    <row r="28" spans="1:18">
      <c r="A28" t="s">
        <v>7</v>
      </c>
      <c r="B28" s="2"/>
      <c r="C28" s="64">
        <f>(1791*12)+((25000*4.5)*0.192)+((25000*4.5)*0.65)+((4.5*25000)*0.332)</f>
        <v>153567</v>
      </c>
      <c r="D28" s="12">
        <f>C28/$C$11</f>
        <v>7.3127142857142857</v>
      </c>
      <c r="F28" s="64">
        <f>(1791*12)+((25000*4.5)*0.192)+((25000*4.5)*0.65)+((4.5*25000)*0.332)</f>
        <v>153567</v>
      </c>
      <c r="G28" s="12">
        <f t="shared" si="1"/>
        <v>14.62542857142857</v>
      </c>
      <c r="H28" s="12"/>
      <c r="I28" s="64">
        <f>(1791*12)+((25000*4.5)*0.192)+((25000*4.5)*0.65)+((4.5*25000)*0.332)</f>
        <v>153567</v>
      </c>
      <c r="J28" s="12">
        <f t="shared" si="2"/>
        <v>13.960636363636363</v>
      </c>
      <c r="K28" t="s">
        <v>86</v>
      </c>
      <c r="R28" s="16"/>
    </row>
    <row r="29" spans="1:18">
      <c r="A29" t="s">
        <v>109</v>
      </c>
      <c r="B29" s="2"/>
      <c r="C29" s="64">
        <v>7500</v>
      </c>
      <c r="D29" s="12">
        <f t="shared" si="0"/>
        <v>0.35714285714285715</v>
      </c>
      <c r="F29" s="17">
        <v>7500</v>
      </c>
      <c r="G29" s="12">
        <f t="shared" si="1"/>
        <v>0.71428571428571419</v>
      </c>
      <c r="H29" s="12"/>
      <c r="I29" s="17">
        <v>7500</v>
      </c>
      <c r="J29" s="12">
        <f t="shared" si="2"/>
        <v>0.68181818181818177</v>
      </c>
      <c r="K29" t="s">
        <v>88</v>
      </c>
      <c r="R29" s="16"/>
    </row>
    <row r="30" spans="1:18">
      <c r="A30" t="s">
        <v>89</v>
      </c>
      <c r="B30" s="2"/>
      <c r="C30" s="64">
        <f>1500+1500+3620+12500</f>
        <v>19120</v>
      </c>
      <c r="D30" s="12">
        <f t="shared" si="0"/>
        <v>0.91047619047619044</v>
      </c>
      <c r="F30" s="17">
        <f>1500+1500+3620+12500</f>
        <v>19120</v>
      </c>
      <c r="G30" s="12">
        <f t="shared" si="1"/>
        <v>1.8209523809523807</v>
      </c>
      <c r="H30" s="12"/>
      <c r="I30" s="17">
        <f>1500+1500+3620+12500</f>
        <v>19120</v>
      </c>
      <c r="J30" s="12">
        <f t="shared" si="2"/>
        <v>1.7381818181818183</v>
      </c>
      <c r="K30" t="s">
        <v>90</v>
      </c>
      <c r="R30" s="16"/>
    </row>
    <row r="31" spans="1:18">
      <c r="A31" t="s">
        <v>91</v>
      </c>
      <c r="B31" s="2"/>
      <c r="C31" s="64">
        <v>8293</v>
      </c>
      <c r="D31" s="12">
        <f>C31/$C$11</f>
        <v>0.39490476190476193</v>
      </c>
      <c r="F31" s="64">
        <v>8293</v>
      </c>
      <c r="G31" s="12">
        <f t="shared" si="1"/>
        <v>0.78980952380952363</v>
      </c>
      <c r="H31" s="12"/>
      <c r="I31" s="64">
        <v>8293</v>
      </c>
      <c r="J31" s="12">
        <f t="shared" si="2"/>
        <v>0.75390909090909086</v>
      </c>
      <c r="K31" t="s">
        <v>92</v>
      </c>
      <c r="R31" s="16"/>
    </row>
    <row r="32" spans="1:18">
      <c r="A32" t="s">
        <v>93</v>
      </c>
      <c r="B32" s="2" t="s">
        <v>110</v>
      </c>
      <c r="C32" s="64">
        <f>4*536+(3.49*3750)</f>
        <v>15231.5</v>
      </c>
      <c r="D32" s="12">
        <f>C32/$C$11</f>
        <v>0.72530952380952385</v>
      </c>
      <c r="E32" s="2" t="s">
        <v>111</v>
      </c>
      <c r="F32" s="17">
        <f>14*536+(3.49*14500)</f>
        <v>58109</v>
      </c>
      <c r="G32" s="12">
        <f t="shared" si="1"/>
        <v>5.5341904761904752</v>
      </c>
      <c r="H32" s="12" t="s">
        <v>112</v>
      </c>
      <c r="I32" s="17">
        <f>14*536+(3.49*14750)</f>
        <v>58981.5</v>
      </c>
      <c r="J32" s="12">
        <f t="shared" si="2"/>
        <v>5.3619545454545454</v>
      </c>
      <c r="K32" t="s">
        <v>96</v>
      </c>
      <c r="R32" s="16"/>
    </row>
    <row r="33" spans="1:18">
      <c r="A33" t="s">
        <v>113</v>
      </c>
      <c r="B33" s="2"/>
      <c r="C33" s="64">
        <v>245000</v>
      </c>
      <c r="D33" s="12">
        <f t="shared" si="0"/>
        <v>11.666666666666666</v>
      </c>
      <c r="F33" s="17">
        <v>245000</v>
      </c>
      <c r="G33" s="12">
        <f t="shared" si="1"/>
        <v>23.333333333333329</v>
      </c>
      <c r="H33" s="12"/>
      <c r="I33" s="17">
        <v>245000</v>
      </c>
      <c r="J33" s="12">
        <f t="shared" si="2"/>
        <v>22.272727272727273</v>
      </c>
      <c r="R33" s="16"/>
    </row>
    <row r="34" spans="1:18">
      <c r="A34" s="1" t="s">
        <v>97</v>
      </c>
      <c r="B34" s="2"/>
      <c r="C34" s="17">
        <f>SUM(C19:C33)</f>
        <v>1392036.5</v>
      </c>
      <c r="D34" s="80">
        <f>SUM(D19:D33)</f>
        <v>66.287452380952374</v>
      </c>
      <c r="E34" s="17"/>
      <c r="F34" s="17">
        <f>SUM(F19:F33)</f>
        <v>1510689</v>
      </c>
      <c r="G34" s="80">
        <f>SUM(G19:G33)</f>
        <v>143.87514285714283</v>
      </c>
      <c r="H34" s="80"/>
      <c r="I34" s="17">
        <f>SUM(I19:I33)</f>
        <v>1813561.5</v>
      </c>
      <c r="J34" s="12">
        <f t="shared" si="2"/>
        <v>164.86922727272727</v>
      </c>
      <c r="R34" s="16"/>
    </row>
    <row r="35" spans="1:18">
      <c r="A35" t="s">
        <v>9</v>
      </c>
      <c r="B35" s="2"/>
      <c r="C35" s="17">
        <v>130000</v>
      </c>
      <c r="D35" s="80">
        <f>(0.1*D34)-0.1*(D21+D22+D23)</f>
        <v>5.4033880952380953</v>
      </c>
      <c r="E35" s="17"/>
      <c r="F35" s="17">
        <f>(0.1*F34)-0.1*(F21+F22+F23)</f>
        <v>116758.9</v>
      </c>
      <c r="G35" s="80">
        <f>(0.1*G34)-0.1*(G21+G22+G23)</f>
        <v>11.119895238095236</v>
      </c>
      <c r="H35" s="80"/>
      <c r="I35" s="17">
        <f>(0.1*I34)-0.1*(I21+I22+I23)</f>
        <v>147046.15000000002</v>
      </c>
      <c r="J35" s="12">
        <f t="shared" si="2"/>
        <v>13.36783181818182</v>
      </c>
      <c r="K35" t="s">
        <v>172</v>
      </c>
      <c r="R35" s="16"/>
    </row>
    <row r="36" spans="1:18">
      <c r="A36" s="1" t="s">
        <v>2</v>
      </c>
      <c r="B36" s="2"/>
      <c r="C36" s="8">
        <f>SUM(C34:C35)</f>
        <v>1522036.5</v>
      </c>
      <c r="D36" s="81">
        <f>SUM(D34:D35)</f>
        <v>71.690840476190473</v>
      </c>
      <c r="E36" s="8"/>
      <c r="F36" s="8">
        <f>SUM(F34:F35)</f>
        <v>1627447.9</v>
      </c>
      <c r="G36" s="81">
        <f>SUM(G34:G35)</f>
        <v>154.99503809523807</v>
      </c>
      <c r="H36" s="81"/>
      <c r="I36" s="8">
        <f>SUM(I34:I35)</f>
        <v>1960607.65</v>
      </c>
      <c r="J36" s="12">
        <f t="shared" si="2"/>
        <v>178.23705909090907</v>
      </c>
      <c r="R36" s="16"/>
    </row>
    <row r="37" spans="1:18">
      <c r="B37" s="2"/>
      <c r="D37" s="81"/>
      <c r="G37" s="81"/>
      <c r="H37" s="81"/>
      <c r="J37" s="12"/>
      <c r="R37" s="16"/>
    </row>
    <row r="38" spans="1:18">
      <c r="A38" s="1" t="s">
        <v>11</v>
      </c>
      <c r="B38" s="2"/>
      <c r="C38" s="8">
        <f>C16-C36</f>
        <v>903276</v>
      </c>
      <c r="D38" s="81">
        <f>D16-D36</f>
        <v>43.800230952380957</v>
      </c>
      <c r="E38" s="8"/>
      <c r="F38" s="8">
        <f>F16-F36</f>
        <v>194583.35000000009</v>
      </c>
      <c r="G38" s="81">
        <f>G16-G36</f>
        <v>18.531747619047621</v>
      </c>
      <c r="H38" s="81"/>
      <c r="I38" s="8">
        <f>I16-I36</f>
        <v>586579.85000000009</v>
      </c>
      <c r="J38" s="12">
        <f t="shared" si="2"/>
        <v>53.325440909090915</v>
      </c>
      <c r="R38" s="16"/>
    </row>
    <row r="39" spans="1:18">
      <c r="B39" s="2"/>
      <c r="D39" s="19"/>
      <c r="F39" s="16"/>
      <c r="G39" s="19"/>
      <c r="H39" s="19"/>
      <c r="I39" s="16"/>
      <c r="J39" s="12"/>
      <c r="R39" s="16"/>
    </row>
    <row r="40" spans="1:18">
      <c r="A40" s="1" t="s">
        <v>175</v>
      </c>
      <c r="B40" s="2"/>
      <c r="C40" s="15"/>
      <c r="D40" s="15">
        <f>(D36/0.65)*1.12</f>
        <v>123.52883282051282</v>
      </c>
      <c r="E40" s="15"/>
      <c r="F40" s="65"/>
      <c r="G40" s="15">
        <f>(G36/0.65)*1.12</f>
        <v>267.06837333333328</v>
      </c>
      <c r="H40" s="15"/>
      <c r="I40" s="65"/>
      <c r="J40" s="15">
        <f>(J36/0.65)*1.12</f>
        <v>307.11616335664331</v>
      </c>
      <c r="R40" s="16"/>
    </row>
    <row r="41" spans="1:18">
      <c r="B41" s="2"/>
      <c r="D41" s="2"/>
      <c r="F41" s="16"/>
      <c r="G41" s="2"/>
      <c r="H41" s="2"/>
      <c r="I41" s="2"/>
      <c r="J41" s="2"/>
      <c r="R41" s="16"/>
    </row>
    <row r="42" spans="1:18">
      <c r="B42" s="2"/>
      <c r="D42" s="2"/>
      <c r="F42" s="16"/>
      <c r="G42" s="2"/>
      <c r="H42" s="2"/>
      <c r="I42" s="2"/>
      <c r="J42" s="2"/>
      <c r="R42" s="16"/>
    </row>
  </sheetData>
  <sheetProtection password="DF1D" sheet="1" objects="1" scenarios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9" sqref="C9"/>
    </sheetView>
  </sheetViews>
  <sheetFormatPr baseColWidth="10" defaultColWidth="8.83203125" defaultRowHeight="14" x14ac:dyDescent="0"/>
  <cols>
    <col min="3" max="3" width="11" bestFit="1" customWidth="1"/>
    <col min="6" max="6" width="12.83203125" bestFit="1" customWidth="1"/>
    <col min="8" max="8" width="46" customWidth="1"/>
    <col min="9" max="9" width="38.5" bestFit="1" customWidth="1"/>
    <col min="10" max="10" width="13.6640625" bestFit="1" customWidth="1"/>
  </cols>
  <sheetData>
    <row r="1" spans="1:10" ht="19">
      <c r="A1" s="44" t="s">
        <v>114</v>
      </c>
      <c r="B1" s="67"/>
      <c r="C1" s="68"/>
      <c r="D1" s="2"/>
      <c r="F1" s="16"/>
      <c r="G1" s="2"/>
    </row>
    <row r="2" spans="1:10" ht="19">
      <c r="A2" s="44" t="s">
        <v>115</v>
      </c>
      <c r="B2" s="50"/>
      <c r="C2" s="69"/>
      <c r="D2" s="3"/>
      <c r="E2" s="1"/>
      <c r="F2" s="49"/>
      <c r="G2" s="3"/>
    </row>
    <row r="3" spans="1:10" ht="15" thickBot="1">
      <c r="A3" s="1"/>
      <c r="B3" s="3"/>
      <c r="C3" s="49"/>
      <c r="D3" s="3"/>
      <c r="E3" s="1"/>
      <c r="F3" s="49"/>
      <c r="G3" s="3"/>
    </row>
    <row r="4" spans="1:10">
      <c r="A4" s="25" t="s">
        <v>23</v>
      </c>
      <c r="B4" s="71"/>
      <c r="C4" s="72"/>
      <c r="D4" s="70"/>
      <c r="E4" s="71"/>
      <c r="F4" s="72"/>
      <c r="G4" s="70"/>
      <c r="H4" s="82"/>
    </row>
    <row r="5" spans="1:10" ht="15" thickBot="1">
      <c r="A5" s="26" t="s">
        <v>116</v>
      </c>
      <c r="B5" s="74"/>
      <c r="C5" s="75"/>
      <c r="D5" s="73"/>
      <c r="E5" s="74"/>
      <c r="F5" s="75"/>
      <c r="G5" s="73"/>
      <c r="H5" s="83"/>
    </row>
    <row r="6" spans="1:10">
      <c r="A6" s="1"/>
      <c r="B6" s="3"/>
      <c r="C6" s="49"/>
      <c r="D6" s="3"/>
      <c r="E6" s="1"/>
      <c r="F6" s="49"/>
      <c r="G6" s="3"/>
    </row>
    <row r="7" spans="1:10">
      <c r="A7" s="1"/>
      <c r="B7" s="3"/>
      <c r="C7" s="49"/>
      <c r="D7" s="3"/>
      <c r="E7" s="1"/>
      <c r="F7" s="49"/>
      <c r="G7" s="3"/>
    </row>
    <row r="8" spans="1:10" ht="15" thickBot="1">
      <c r="A8" s="1" t="s">
        <v>0</v>
      </c>
      <c r="B8" s="3"/>
      <c r="C8" s="49" t="s">
        <v>45</v>
      </c>
      <c r="D8" s="3" t="s">
        <v>46</v>
      </c>
      <c r="E8" s="1"/>
      <c r="F8" s="49" t="s">
        <v>47</v>
      </c>
      <c r="G8" s="3" t="s">
        <v>48</v>
      </c>
      <c r="H8" s="1" t="s">
        <v>51</v>
      </c>
    </row>
    <row r="9" spans="1:10" ht="15" thickBot="1">
      <c r="A9" t="s">
        <v>53</v>
      </c>
      <c r="B9" s="2"/>
      <c r="C9" s="5">
        <v>28000</v>
      </c>
      <c r="D9" s="2"/>
      <c r="F9" s="76">
        <v>28000</v>
      </c>
      <c r="G9" s="2"/>
      <c r="H9" t="s">
        <v>117</v>
      </c>
      <c r="I9" s="4" t="s">
        <v>52</v>
      </c>
      <c r="J9" s="20"/>
    </row>
    <row r="10" spans="1:10">
      <c r="A10" t="s">
        <v>56</v>
      </c>
      <c r="B10" s="2"/>
      <c r="C10" s="59">
        <v>0.16</v>
      </c>
      <c r="D10" s="2"/>
      <c r="F10" s="77">
        <v>0.57999999999999996</v>
      </c>
      <c r="G10" s="2"/>
      <c r="H10" t="s">
        <v>57</v>
      </c>
      <c r="I10" s="6" t="s">
        <v>55</v>
      </c>
      <c r="J10" s="21">
        <v>0</v>
      </c>
    </row>
    <row r="11" spans="1:10" ht="15" thickBot="1">
      <c r="A11" t="s">
        <v>58</v>
      </c>
      <c r="B11" s="2"/>
      <c r="C11" s="5">
        <f>C9*(1-C10)</f>
        <v>23520</v>
      </c>
      <c r="D11" s="5"/>
      <c r="E11" s="5"/>
      <c r="F11" s="76">
        <f>F9*(1-F10)</f>
        <v>11760.000000000002</v>
      </c>
      <c r="G11" s="2"/>
      <c r="I11" s="7" t="s">
        <v>1</v>
      </c>
      <c r="J11" s="36">
        <v>375000</v>
      </c>
    </row>
    <row r="12" spans="1:10" ht="15" thickBot="1">
      <c r="A12" t="s">
        <v>60</v>
      </c>
      <c r="B12" s="2"/>
      <c r="C12" s="10">
        <f>D12*C11</f>
        <v>4680480</v>
      </c>
      <c r="D12" s="9">
        <v>199</v>
      </c>
      <c r="F12" s="10">
        <f>G12*F11</f>
        <v>3516240.0000000005</v>
      </c>
      <c r="G12" s="9">
        <v>299</v>
      </c>
      <c r="I12" s="7" t="s">
        <v>59</v>
      </c>
      <c r="J12" s="36">
        <v>2500000</v>
      </c>
    </row>
    <row r="13" spans="1:10">
      <c r="A13" t="s">
        <v>62</v>
      </c>
      <c r="B13" s="11">
        <v>0.12</v>
      </c>
      <c r="C13" s="10">
        <f>C12-C14</f>
        <v>501480.00000000047</v>
      </c>
      <c r="D13" s="12">
        <f>C13/$C$11</f>
        <v>21.321428571428591</v>
      </c>
      <c r="F13" s="10">
        <f>F12-F14</f>
        <v>376740.00000000047</v>
      </c>
      <c r="G13" s="12">
        <f>F13/$F$11</f>
        <v>32.03571428571432</v>
      </c>
      <c r="I13" s="7" t="s">
        <v>61</v>
      </c>
      <c r="J13" s="36">
        <f>J12/15</f>
        <v>166666.66666666666</v>
      </c>
    </row>
    <row r="14" spans="1:10">
      <c r="A14" t="s">
        <v>65</v>
      </c>
      <c r="B14" s="2"/>
      <c r="C14" s="10">
        <f>C12/1.12</f>
        <v>4178999.9999999995</v>
      </c>
      <c r="D14" s="12">
        <f>C14/$C$11</f>
        <v>177.67857142857142</v>
      </c>
      <c r="F14" s="10">
        <f>F12/1.12</f>
        <v>3139500</v>
      </c>
      <c r="G14" s="12">
        <f>F14/$F$11</f>
        <v>266.96428571428567</v>
      </c>
      <c r="I14" s="7" t="s">
        <v>64</v>
      </c>
      <c r="J14" s="36">
        <f>(J11+J12)*4%</f>
        <v>115000</v>
      </c>
    </row>
    <row r="15" spans="1:10">
      <c r="A15" t="s">
        <v>67</v>
      </c>
      <c r="B15" s="11">
        <v>0.35</v>
      </c>
      <c r="C15" s="10">
        <f>C14*0.35</f>
        <v>1462649.9999999998</v>
      </c>
      <c r="D15" s="12">
        <f>C15/$C$11</f>
        <v>62.187499999999993</v>
      </c>
      <c r="F15" s="10">
        <f>F14*0.35</f>
        <v>1098825</v>
      </c>
      <c r="G15" s="12">
        <f>F15/$F$11</f>
        <v>93.437499999999986</v>
      </c>
      <c r="I15" s="7" t="s">
        <v>66</v>
      </c>
      <c r="J15" s="36">
        <f>300000/15</f>
        <v>20000</v>
      </c>
    </row>
    <row r="16" spans="1:10" ht="15" thickBot="1">
      <c r="A16" t="s">
        <v>69</v>
      </c>
      <c r="B16" s="2"/>
      <c r="C16" s="10">
        <f>C14-C15</f>
        <v>2716350</v>
      </c>
      <c r="D16" s="12">
        <f>C16/$C$11</f>
        <v>115.49107142857143</v>
      </c>
      <c r="F16" s="10">
        <f>F14-F15</f>
        <v>2040675</v>
      </c>
      <c r="G16" s="12">
        <f>F16/$F$11</f>
        <v>173.52678571428569</v>
      </c>
      <c r="I16" s="14" t="s">
        <v>2</v>
      </c>
      <c r="J16" s="61">
        <f>SUM(J13:J15)</f>
        <v>301666.66666666663</v>
      </c>
    </row>
    <row r="17" spans="1:8">
      <c r="B17" s="2"/>
      <c r="C17" s="16"/>
      <c r="D17" s="15"/>
      <c r="F17" s="16"/>
      <c r="G17" s="15"/>
    </row>
    <row r="18" spans="1:8">
      <c r="A18" s="1" t="s">
        <v>3</v>
      </c>
      <c r="B18" s="2"/>
      <c r="C18" s="16" t="s">
        <v>4</v>
      </c>
      <c r="D18" s="2" t="s">
        <v>46</v>
      </c>
      <c r="F18" s="16" t="s">
        <v>4</v>
      </c>
      <c r="G18" s="2" t="s">
        <v>46</v>
      </c>
    </row>
    <row r="19" spans="1:8">
      <c r="A19" t="s">
        <v>5</v>
      </c>
      <c r="B19" s="2"/>
      <c r="C19" s="10">
        <f>(40*10)*55</f>
        <v>22000</v>
      </c>
      <c r="D19" s="12">
        <f t="shared" ref="D19:D32" si="0">C19/$C$11</f>
        <v>0.93537414965986398</v>
      </c>
      <c r="F19" s="10">
        <f>(40*10)*28</f>
        <v>11200</v>
      </c>
      <c r="G19" s="12">
        <f t="shared" ref="G19:G32" si="1">F19/$F$11</f>
        <v>0.95238095238095222</v>
      </c>
      <c r="H19" t="s">
        <v>118</v>
      </c>
    </row>
    <row r="20" spans="1:8">
      <c r="A20" t="s">
        <v>15</v>
      </c>
      <c r="B20" s="2"/>
      <c r="C20" s="10">
        <f>(2.2*70000)+(28000*3)</f>
        <v>238000</v>
      </c>
      <c r="D20" s="12">
        <f t="shared" si="0"/>
        <v>10.119047619047619</v>
      </c>
      <c r="F20" s="10">
        <f>(2.2*70000)+(28000*3)</f>
        <v>238000</v>
      </c>
      <c r="G20" s="12">
        <f t="shared" si="1"/>
        <v>20.238095238095234</v>
      </c>
      <c r="H20" t="s">
        <v>119</v>
      </c>
    </row>
    <row r="21" spans="1:8">
      <c r="A21" t="s">
        <v>73</v>
      </c>
      <c r="B21" s="2"/>
      <c r="C21" s="10">
        <f>(2*235)*365</f>
        <v>171550</v>
      </c>
      <c r="D21" s="12">
        <f t="shared" si="0"/>
        <v>7.2937925170068025</v>
      </c>
      <c r="F21" s="10">
        <f>(2*235)*365</f>
        <v>171550</v>
      </c>
      <c r="G21" s="12">
        <f t="shared" si="1"/>
        <v>14.587585034013603</v>
      </c>
      <c r="H21" t="s">
        <v>104</v>
      </c>
    </row>
    <row r="22" spans="1:8">
      <c r="A22" t="s">
        <v>75</v>
      </c>
      <c r="B22" s="2"/>
      <c r="C22" s="10">
        <f>(1*235)*365</f>
        <v>85775</v>
      </c>
      <c r="D22" s="12">
        <f>C22/$C$11</f>
        <v>3.6468962585034013</v>
      </c>
      <c r="F22" s="10">
        <f>(1*235)*365</f>
        <v>85775</v>
      </c>
      <c r="G22" s="12">
        <f>F22/$F$11</f>
        <v>7.2937925170068016</v>
      </c>
      <c r="H22" t="s">
        <v>78</v>
      </c>
    </row>
    <row r="23" spans="1:8">
      <c r="A23" t="s">
        <v>77</v>
      </c>
      <c r="B23" s="2"/>
      <c r="C23" s="10">
        <f>(0*235)*365</f>
        <v>0</v>
      </c>
      <c r="D23" s="12">
        <f>C23/$C$11</f>
        <v>0</v>
      </c>
      <c r="F23" s="10">
        <f>(1*235)*365</f>
        <v>85775</v>
      </c>
      <c r="G23" s="12">
        <f>F23/$F$11</f>
        <v>7.2937925170068016</v>
      </c>
      <c r="H23" t="s">
        <v>78</v>
      </c>
    </row>
    <row r="24" spans="1:8">
      <c r="A24" t="s">
        <v>107</v>
      </c>
      <c r="B24" s="2"/>
      <c r="C24" s="10">
        <f>11*40000</f>
        <v>440000</v>
      </c>
      <c r="D24" s="12">
        <f t="shared" si="0"/>
        <v>18.707482993197278</v>
      </c>
      <c r="F24" s="10">
        <f>11*40000</f>
        <v>440000</v>
      </c>
      <c r="G24" s="12">
        <f t="shared" si="1"/>
        <v>37.414965986394549</v>
      </c>
      <c r="H24" t="s">
        <v>120</v>
      </c>
    </row>
    <row r="25" spans="1:8">
      <c r="A25" t="s">
        <v>82</v>
      </c>
      <c r="B25" s="2"/>
      <c r="C25" s="8">
        <f>(0.75*40000)*1.85</f>
        <v>55500</v>
      </c>
      <c r="D25" s="12">
        <f t="shared" si="0"/>
        <v>2.3596938775510203</v>
      </c>
      <c r="F25" s="10">
        <f>(0.75*40000)*1.85</f>
        <v>55500</v>
      </c>
      <c r="G25" s="12">
        <f t="shared" si="1"/>
        <v>4.7193877551020398</v>
      </c>
      <c r="H25" t="s">
        <v>83</v>
      </c>
    </row>
    <row r="26" spans="1:8">
      <c r="A26" t="s">
        <v>84</v>
      </c>
      <c r="B26" s="2"/>
      <c r="C26" s="10">
        <f>(0.25*40000)*3.2</f>
        <v>32000</v>
      </c>
      <c r="D26" s="12">
        <f t="shared" si="0"/>
        <v>1.3605442176870748</v>
      </c>
      <c r="F26" s="10">
        <f>(0.25*40000)*3.2</f>
        <v>32000</v>
      </c>
      <c r="G26" s="12">
        <f t="shared" si="1"/>
        <v>2.7210884353741491</v>
      </c>
      <c r="H26" t="s">
        <v>85</v>
      </c>
    </row>
    <row r="27" spans="1:8">
      <c r="A27" t="s">
        <v>7</v>
      </c>
      <c r="B27" s="2"/>
      <c r="C27" s="17">
        <f>(1791*12)+((28000*4.5)*0.192)+((28000*4.5)*0.65)+((4.5*28000)*0.332)</f>
        <v>169416</v>
      </c>
      <c r="D27" s="12">
        <f t="shared" si="0"/>
        <v>7.2030612244897956</v>
      </c>
      <c r="F27" s="17">
        <f>(1791*12)+((28000*4.5)*0.192)+((28000*4.5)*0.65)+((4.5*28000)*0.332)</f>
        <v>169416</v>
      </c>
      <c r="G27" s="12">
        <f t="shared" si="1"/>
        <v>14.406122448979589</v>
      </c>
      <c r="H27" t="s">
        <v>86</v>
      </c>
    </row>
    <row r="28" spans="1:8">
      <c r="A28" t="s">
        <v>109</v>
      </c>
      <c r="B28" s="2"/>
      <c r="C28" s="17">
        <v>7500</v>
      </c>
      <c r="D28" s="12">
        <f t="shared" si="0"/>
        <v>0.31887755102040816</v>
      </c>
      <c r="F28" s="17">
        <v>7500</v>
      </c>
      <c r="G28" s="12">
        <f t="shared" si="1"/>
        <v>0.6377551020408162</v>
      </c>
      <c r="H28" t="s">
        <v>88</v>
      </c>
    </row>
    <row r="29" spans="1:8">
      <c r="A29" t="s">
        <v>89</v>
      </c>
      <c r="B29" s="2"/>
      <c r="C29" s="17">
        <f>1500+1500+3620+12500</f>
        <v>19120</v>
      </c>
      <c r="D29" s="12">
        <f t="shared" si="0"/>
        <v>0.81292517006802723</v>
      </c>
      <c r="F29" s="17">
        <f>1500+1500+3620+12500</f>
        <v>19120</v>
      </c>
      <c r="G29" s="12">
        <f t="shared" si="1"/>
        <v>1.6258503401360542</v>
      </c>
      <c r="H29" t="s">
        <v>121</v>
      </c>
    </row>
    <row r="30" spans="1:8">
      <c r="A30" t="s">
        <v>91</v>
      </c>
      <c r="B30" s="2"/>
      <c r="C30" s="64">
        <v>8293</v>
      </c>
      <c r="D30" s="12">
        <f>C30/$C$11</f>
        <v>0.35259353741496596</v>
      </c>
      <c r="F30" s="64">
        <v>8293</v>
      </c>
      <c r="G30" s="12">
        <f t="shared" si="1"/>
        <v>0.70518707482993181</v>
      </c>
      <c r="H30" t="s">
        <v>92</v>
      </c>
    </row>
    <row r="31" spans="1:8">
      <c r="A31" t="s">
        <v>93</v>
      </c>
      <c r="B31" s="2" t="s">
        <v>122</v>
      </c>
      <c r="C31" s="17">
        <f>4*536+(3.49*4480)</f>
        <v>17779.2</v>
      </c>
      <c r="D31" s="12">
        <f t="shared" si="0"/>
        <v>0.75591836734693885</v>
      </c>
      <c r="E31" s="2" t="s">
        <v>111</v>
      </c>
      <c r="F31" s="17">
        <f>14*536+(3.49*16240)</f>
        <v>64181.600000000006</v>
      </c>
      <c r="G31" s="12">
        <f t="shared" si="1"/>
        <v>5.4576190476190476</v>
      </c>
      <c r="H31" t="s">
        <v>96</v>
      </c>
    </row>
    <row r="32" spans="1:8">
      <c r="A32" t="s">
        <v>8</v>
      </c>
      <c r="B32" s="2"/>
      <c r="C32" s="17">
        <v>300000</v>
      </c>
      <c r="D32" s="12">
        <f t="shared" si="0"/>
        <v>12.755102040816327</v>
      </c>
      <c r="F32" s="17">
        <v>300000</v>
      </c>
      <c r="G32" s="12">
        <f t="shared" si="1"/>
        <v>25.510204081632651</v>
      </c>
    </row>
    <row r="33" spans="1:8">
      <c r="A33" s="1" t="s">
        <v>97</v>
      </c>
      <c r="B33" s="2"/>
      <c r="C33" s="17">
        <f>SUM(C19:C32)</f>
        <v>1566933.2</v>
      </c>
      <c r="D33" s="80">
        <f t="shared" ref="D33:G33" si="2">SUM(D19:D32)</f>
        <v>66.621309523809515</v>
      </c>
      <c r="E33" s="17"/>
      <c r="F33" s="17">
        <f t="shared" si="2"/>
        <v>1688310.6</v>
      </c>
      <c r="G33" s="80">
        <f t="shared" si="2"/>
        <v>143.56382653061223</v>
      </c>
    </row>
    <row r="34" spans="1:8">
      <c r="A34" t="s">
        <v>9</v>
      </c>
      <c r="B34" s="2"/>
      <c r="C34" s="17">
        <v>130000</v>
      </c>
      <c r="D34" s="80">
        <f t="shared" ref="D34:G34" si="3">(0.1*D33)-0.1*(D21+D22+D23)</f>
        <v>5.5680620748299319</v>
      </c>
      <c r="E34" s="17"/>
      <c r="F34" s="17">
        <f t="shared" si="3"/>
        <v>134521.06000000003</v>
      </c>
      <c r="G34" s="80">
        <f t="shared" si="3"/>
        <v>11.438865646258504</v>
      </c>
      <c r="H34" t="s">
        <v>172</v>
      </c>
    </row>
    <row r="35" spans="1:8">
      <c r="A35" s="1" t="s">
        <v>2</v>
      </c>
      <c r="B35" s="2"/>
      <c r="C35" s="10">
        <f>SUM(C33:C34)</f>
        <v>1696933.2</v>
      </c>
      <c r="D35" s="84">
        <f>SUM(D33:D34)</f>
        <v>72.18937159863944</v>
      </c>
      <c r="E35" s="10"/>
      <c r="F35" s="10">
        <f>SUM(F33:F34)</f>
        <v>1822831.6600000001</v>
      </c>
      <c r="G35" s="84">
        <f>SUM(G33:G34)</f>
        <v>155.00269217687074</v>
      </c>
    </row>
    <row r="36" spans="1:8">
      <c r="B36" s="2"/>
      <c r="C36" s="16"/>
      <c r="D36" s="12"/>
      <c r="F36" s="16"/>
      <c r="G36" s="12"/>
    </row>
    <row r="37" spans="1:8">
      <c r="A37" s="1" t="s">
        <v>11</v>
      </c>
      <c r="B37" s="2"/>
      <c r="C37" s="10">
        <f>C16-C35</f>
        <v>1019416.8</v>
      </c>
      <c r="D37" s="84">
        <f>D16-D35</f>
        <v>43.301699829931991</v>
      </c>
      <c r="E37" s="10"/>
      <c r="F37" s="10">
        <f>F16-F35</f>
        <v>217843.33999999985</v>
      </c>
      <c r="G37" s="84">
        <f>G16-G35</f>
        <v>18.524093537414956</v>
      </c>
    </row>
    <row r="38" spans="1:8">
      <c r="B38" s="2"/>
      <c r="C38" s="16"/>
      <c r="D38" s="19"/>
      <c r="F38" s="16"/>
      <c r="G38" s="19"/>
    </row>
    <row r="39" spans="1:8">
      <c r="A39" s="1" t="s">
        <v>174</v>
      </c>
      <c r="B39" s="2"/>
      <c r="C39" s="65"/>
      <c r="D39" s="12">
        <f>(D35/0.65)*1.12</f>
        <v>124.38784029304027</v>
      </c>
      <c r="E39" s="15"/>
      <c r="F39" s="65"/>
      <c r="G39" s="12">
        <f>(G35/0.65)*1.12</f>
        <v>267.08156190476188</v>
      </c>
    </row>
  </sheetData>
  <sheetProtection password="DF1D" sheet="1" objects="1" scenarios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opLeftCell="A7" workbookViewId="0">
      <selection activeCell="K22" sqref="K22"/>
    </sheetView>
  </sheetViews>
  <sheetFormatPr baseColWidth="10" defaultColWidth="8.83203125" defaultRowHeight="14" x14ac:dyDescent="0"/>
  <cols>
    <col min="1" max="1" width="26.5" customWidth="1"/>
    <col min="2" max="2" width="19.6640625" customWidth="1"/>
    <col min="3" max="3" width="9.1640625" customWidth="1"/>
    <col min="11" max="11" width="72.5" customWidth="1"/>
    <col min="16" max="16" width="27" customWidth="1"/>
  </cols>
  <sheetData>
    <row r="1" spans="1:16" ht="25">
      <c r="A1" s="112" t="s">
        <v>127</v>
      </c>
      <c r="B1" s="113"/>
      <c r="C1" s="113"/>
      <c r="D1" s="113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</row>
    <row r="2" spans="1:16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</row>
    <row r="3" spans="1:16">
      <c r="A3" s="135" t="s">
        <v>128</v>
      </c>
      <c r="B3" s="136"/>
      <c r="C3" s="136"/>
      <c r="D3" s="137"/>
      <c r="E3" s="136"/>
      <c r="F3" s="136"/>
      <c r="G3" s="136"/>
      <c r="H3" s="136"/>
      <c r="I3" s="136"/>
      <c r="J3" s="136"/>
      <c r="K3" s="136"/>
      <c r="L3" s="136"/>
      <c r="M3" s="138"/>
      <c r="N3" s="114"/>
      <c r="O3" s="114"/>
      <c r="P3" s="114"/>
    </row>
    <row r="4" spans="1:16">
      <c r="A4" s="139" t="s">
        <v>129</v>
      </c>
      <c r="B4" s="140"/>
      <c r="C4" s="140"/>
      <c r="D4" s="141"/>
      <c r="E4" s="140"/>
      <c r="F4" s="140"/>
      <c r="G4" s="140"/>
      <c r="H4" s="140"/>
      <c r="I4" s="140"/>
      <c r="J4" s="140"/>
      <c r="K4" s="140"/>
      <c r="L4" s="140"/>
      <c r="M4" s="142"/>
      <c r="N4" s="114"/>
      <c r="O4" s="114"/>
      <c r="P4" s="114"/>
    </row>
    <row r="5" spans="1:16">
      <c r="A5" s="143" t="s">
        <v>130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144"/>
      <c r="N5" s="114"/>
      <c r="O5" s="114"/>
      <c r="P5" s="114"/>
    </row>
    <row r="6" spans="1:16">
      <c r="A6" s="143" t="s">
        <v>131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144"/>
      <c r="N6" s="114"/>
      <c r="O6" s="114"/>
      <c r="P6" s="114"/>
    </row>
    <row r="7" spans="1:16">
      <c r="A7" s="143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144"/>
      <c r="N7" s="114"/>
      <c r="O7" s="114"/>
      <c r="P7" s="114"/>
    </row>
    <row r="8" spans="1:16">
      <c r="A8" s="145" t="s">
        <v>132</v>
      </c>
      <c r="B8" s="146"/>
      <c r="C8" s="146"/>
      <c r="D8" s="146"/>
      <c r="E8" s="146"/>
      <c r="F8" s="146"/>
      <c r="G8" s="146"/>
      <c r="H8" s="146"/>
      <c r="I8" s="146"/>
      <c r="J8" s="146"/>
      <c r="K8" s="146"/>
      <c r="L8" s="146"/>
      <c r="M8" s="147"/>
      <c r="N8" s="114"/>
      <c r="O8" s="114"/>
      <c r="P8" s="114"/>
    </row>
    <row r="9" spans="1:16">
      <c r="A9" s="114"/>
      <c r="B9" s="114"/>
      <c r="C9" s="114"/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  <c r="O9" s="114"/>
      <c r="P9" s="114"/>
    </row>
    <row r="10" spans="1:16">
      <c r="A10" s="114"/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</row>
    <row r="11" spans="1:16" ht="19">
      <c r="A11" s="115" t="s">
        <v>133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</row>
    <row r="12" spans="1:16" ht="19">
      <c r="A12" s="115"/>
      <c r="B12" s="114"/>
      <c r="C12" s="114"/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</row>
    <row r="13" spans="1:16">
      <c r="A13" s="116" t="s">
        <v>0</v>
      </c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</row>
    <row r="14" spans="1:16">
      <c r="A14" s="114" t="s">
        <v>53</v>
      </c>
      <c r="B14" s="114"/>
      <c r="C14" s="114" t="s">
        <v>134</v>
      </c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</row>
    <row r="15" spans="1:16">
      <c r="A15" s="114" t="s">
        <v>56</v>
      </c>
      <c r="B15" s="114"/>
      <c r="C15" s="114" t="s">
        <v>135</v>
      </c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</row>
    <row r="16" spans="1:16" ht="15" thickBot="1">
      <c r="A16" s="114" t="s">
        <v>58</v>
      </c>
      <c r="B16" s="114"/>
      <c r="C16" s="114" t="s">
        <v>136</v>
      </c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</row>
    <row r="17" spans="1:16" ht="15" thickBot="1">
      <c r="A17" s="114" t="s">
        <v>60</v>
      </c>
      <c r="B17" s="114"/>
      <c r="C17" s="117" t="s">
        <v>137</v>
      </c>
      <c r="D17" s="118"/>
      <c r="E17" s="119"/>
      <c r="F17" s="114"/>
      <c r="G17" s="114"/>
      <c r="H17" s="114"/>
      <c r="I17" s="114"/>
      <c r="J17" s="114"/>
      <c r="K17" s="114"/>
      <c r="L17" s="114"/>
      <c r="M17" s="114"/>
      <c r="N17" s="114"/>
      <c r="O17" s="114"/>
      <c r="P17" s="114"/>
    </row>
    <row r="18" spans="1:16">
      <c r="A18" s="114" t="s">
        <v>62</v>
      </c>
      <c r="B18" s="114"/>
      <c r="C18" s="114" t="s">
        <v>138</v>
      </c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</row>
    <row r="19" spans="1:16">
      <c r="A19" s="114" t="s">
        <v>65</v>
      </c>
      <c r="B19" s="114"/>
      <c r="C19" s="114" t="s">
        <v>139</v>
      </c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</row>
    <row r="20" spans="1:16">
      <c r="A20" s="114" t="s">
        <v>67</v>
      </c>
      <c r="B20" s="114"/>
      <c r="C20" s="114" t="s">
        <v>176</v>
      </c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</row>
    <row r="21" spans="1:16">
      <c r="A21" s="114" t="s">
        <v>69</v>
      </c>
      <c r="B21" s="114"/>
      <c r="C21" s="114" t="s">
        <v>140</v>
      </c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</row>
    <row r="22" spans="1:16">
      <c r="A22" s="116"/>
      <c r="B22" s="114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</row>
    <row r="23" spans="1:16">
      <c r="A23" s="116" t="s">
        <v>3</v>
      </c>
      <c r="B23" s="114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</row>
    <row r="24" spans="1:16">
      <c r="A24" s="114" t="s">
        <v>5</v>
      </c>
      <c r="B24" s="120"/>
      <c r="C24" s="114" t="s">
        <v>141</v>
      </c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</row>
    <row r="25" spans="1:16">
      <c r="A25" s="114" t="s">
        <v>102</v>
      </c>
      <c r="B25" s="120"/>
      <c r="C25" s="114" t="s">
        <v>142</v>
      </c>
      <c r="D25" s="114"/>
      <c r="E25" s="114"/>
      <c r="F25" s="114"/>
      <c r="G25" s="114"/>
      <c r="H25" s="114"/>
      <c r="I25" s="114"/>
      <c r="J25" s="114"/>
      <c r="K25" s="114"/>
      <c r="L25" s="114"/>
      <c r="M25" s="114"/>
      <c r="N25" s="114"/>
      <c r="O25" s="114"/>
      <c r="P25" s="114"/>
    </row>
    <row r="26" spans="1:16">
      <c r="A26" s="114" t="s">
        <v>73</v>
      </c>
      <c r="B26" s="120"/>
      <c r="C26" s="114" t="s">
        <v>143</v>
      </c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</row>
    <row r="27" spans="1:16">
      <c r="A27" s="114" t="s">
        <v>126</v>
      </c>
      <c r="B27" s="120"/>
      <c r="C27" s="114" t="s">
        <v>143</v>
      </c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114"/>
      <c r="P27" s="114"/>
    </row>
    <row r="28" spans="1:16">
      <c r="A28" s="114" t="s">
        <v>77</v>
      </c>
      <c r="B28" s="120"/>
      <c r="C28" s="114" t="s">
        <v>143</v>
      </c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4"/>
      <c r="P28" s="114"/>
    </row>
    <row r="29" spans="1:16">
      <c r="A29" s="114" t="s">
        <v>6</v>
      </c>
      <c r="B29" s="120"/>
      <c r="C29" s="114" t="s">
        <v>144</v>
      </c>
      <c r="D29" s="114"/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</row>
    <row r="30" spans="1:16">
      <c r="A30" s="114" t="s">
        <v>82</v>
      </c>
      <c r="B30" s="120"/>
      <c r="C30" s="114" t="s">
        <v>145</v>
      </c>
      <c r="D30" s="114"/>
      <c r="E30" s="114"/>
      <c r="F30" s="114"/>
      <c r="G30" s="114"/>
      <c r="H30" s="114"/>
      <c r="I30" s="114" t="s">
        <v>146</v>
      </c>
      <c r="J30" s="114"/>
      <c r="K30" s="114"/>
      <c r="L30" s="114"/>
      <c r="M30" s="114"/>
      <c r="N30" s="114"/>
      <c r="O30" s="114"/>
      <c r="P30" s="114"/>
    </row>
    <row r="31" spans="1:16">
      <c r="A31" s="114" t="s">
        <v>84</v>
      </c>
      <c r="B31" s="120"/>
      <c r="C31" s="114" t="s">
        <v>147</v>
      </c>
      <c r="D31" s="114"/>
      <c r="E31" s="114"/>
      <c r="F31" s="114"/>
      <c r="G31" s="114"/>
      <c r="H31" s="114"/>
      <c r="I31" s="114" t="s">
        <v>148</v>
      </c>
      <c r="J31" s="114"/>
      <c r="K31" s="114"/>
      <c r="L31" s="114"/>
      <c r="M31" s="114"/>
      <c r="N31" s="114"/>
      <c r="O31" s="114"/>
      <c r="P31" s="114"/>
    </row>
    <row r="32" spans="1:16">
      <c r="A32" s="114" t="s">
        <v>7</v>
      </c>
      <c r="B32" s="120"/>
      <c r="C32" s="114" t="s">
        <v>149</v>
      </c>
      <c r="D32" s="114"/>
      <c r="E32" s="114"/>
      <c r="F32" s="114"/>
      <c r="G32" s="114"/>
      <c r="H32" s="114"/>
      <c r="I32" s="114"/>
      <c r="J32" s="114"/>
      <c r="K32" s="114"/>
      <c r="L32" s="114" t="s">
        <v>150</v>
      </c>
      <c r="M32" s="114"/>
      <c r="N32" s="114"/>
      <c r="O32" s="114"/>
      <c r="P32" s="114"/>
    </row>
    <row r="33" spans="1:16">
      <c r="A33" s="114" t="s">
        <v>87</v>
      </c>
      <c r="B33" s="120"/>
      <c r="C33" s="114" t="s">
        <v>151</v>
      </c>
      <c r="D33" s="114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</row>
    <row r="34" spans="1:16">
      <c r="A34" s="114" t="s">
        <v>89</v>
      </c>
      <c r="B34" s="120"/>
      <c r="C34" s="114" t="s">
        <v>152</v>
      </c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</row>
    <row r="35" spans="1:16">
      <c r="A35" s="114" t="s">
        <v>91</v>
      </c>
      <c r="B35" s="120"/>
      <c r="C35" s="114" t="s">
        <v>153</v>
      </c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</row>
    <row r="36" spans="1:16">
      <c r="A36" s="114" t="s">
        <v>93</v>
      </c>
      <c r="B36" s="120"/>
      <c r="C36" s="114" t="s">
        <v>154</v>
      </c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</row>
    <row r="37" spans="1:16">
      <c r="A37" s="114" t="s">
        <v>8</v>
      </c>
      <c r="B37" s="120"/>
      <c r="C37" s="114" t="s">
        <v>155</v>
      </c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</row>
    <row r="38" spans="1:16">
      <c r="A38" s="116" t="s">
        <v>97</v>
      </c>
      <c r="B38" s="120"/>
      <c r="C38" s="114" t="s">
        <v>156</v>
      </c>
      <c r="D38" s="114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</row>
    <row r="39" spans="1:16">
      <c r="A39" s="114" t="s">
        <v>9</v>
      </c>
      <c r="B39" s="120"/>
      <c r="C39" s="114" t="s">
        <v>173</v>
      </c>
      <c r="D39" s="114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</row>
    <row r="40" spans="1:16">
      <c r="A40" s="116" t="s">
        <v>2</v>
      </c>
      <c r="B40" s="114"/>
      <c r="C40" s="114" t="s">
        <v>157</v>
      </c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</row>
    <row r="41" spans="1:16">
      <c r="A41" s="116" t="s">
        <v>11</v>
      </c>
      <c r="B41" s="114"/>
      <c r="C41" s="114" t="s">
        <v>158</v>
      </c>
      <c r="D41" s="114"/>
      <c r="E41" s="114"/>
      <c r="F41" s="114"/>
      <c r="G41" s="114"/>
      <c r="H41" s="114"/>
      <c r="I41" s="114"/>
      <c r="J41" s="114"/>
      <c r="K41" s="114"/>
      <c r="L41" s="114"/>
      <c r="M41" s="114"/>
      <c r="N41" s="114"/>
      <c r="O41" s="114"/>
      <c r="P41" s="114"/>
    </row>
    <row r="42" spans="1:16">
      <c r="A42" s="116" t="s">
        <v>174</v>
      </c>
      <c r="B42" s="114"/>
      <c r="C42" s="114" t="s">
        <v>177</v>
      </c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</row>
    <row r="43" spans="1:16">
      <c r="A43" s="114"/>
      <c r="B43" s="114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</row>
    <row r="44" spans="1:16">
      <c r="A44" s="121" t="s">
        <v>159</v>
      </c>
      <c r="B44" s="122"/>
      <c r="C44" s="122"/>
      <c r="D44" s="122"/>
      <c r="E44" s="122"/>
      <c r="F44" s="122"/>
      <c r="G44" s="123"/>
      <c r="H44" s="114"/>
      <c r="I44" s="114"/>
      <c r="J44" s="114"/>
      <c r="K44" s="114"/>
      <c r="L44" s="114"/>
      <c r="M44" s="114"/>
      <c r="N44" s="114"/>
      <c r="O44" s="114"/>
      <c r="P44" s="114"/>
    </row>
    <row r="45" spans="1:16">
      <c r="A45" s="124" t="s">
        <v>160</v>
      </c>
      <c r="B45" s="125"/>
      <c r="C45" s="125"/>
      <c r="D45" s="125"/>
      <c r="E45" s="125"/>
      <c r="F45" s="125"/>
      <c r="G45" s="126"/>
      <c r="H45" s="114"/>
      <c r="I45" s="114"/>
      <c r="J45" s="114"/>
      <c r="K45" s="114"/>
      <c r="L45" s="114"/>
      <c r="M45" s="114"/>
      <c r="N45" s="114"/>
      <c r="O45" s="114"/>
      <c r="P45" s="114"/>
    </row>
    <row r="46" spans="1:16" ht="15" thickBot="1">
      <c r="A46" s="114"/>
      <c r="B46" s="114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</row>
    <row r="47" spans="1:16" ht="15" thickBot="1">
      <c r="A47" s="127" t="s">
        <v>161</v>
      </c>
      <c r="B47" s="128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</row>
    <row r="48" spans="1:16">
      <c r="A48" s="129" t="s">
        <v>55</v>
      </c>
      <c r="B48" s="130"/>
      <c r="C48" s="114" t="s">
        <v>162</v>
      </c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</row>
    <row r="49" spans="1:16">
      <c r="A49" s="131" t="s">
        <v>1</v>
      </c>
      <c r="B49" s="132"/>
      <c r="C49" s="114" t="s">
        <v>163</v>
      </c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</row>
    <row r="50" spans="1:16">
      <c r="A50" s="131" t="s">
        <v>59</v>
      </c>
      <c r="B50" s="132"/>
      <c r="C50" s="114" t="s">
        <v>164</v>
      </c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</row>
    <row r="51" spans="1:16">
      <c r="A51" s="131" t="s">
        <v>165</v>
      </c>
      <c r="B51" s="132"/>
      <c r="C51" s="114" t="s">
        <v>166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</row>
    <row r="52" spans="1:16">
      <c r="A52" s="131" t="s">
        <v>167</v>
      </c>
      <c r="B52" s="132"/>
      <c r="C52" s="114" t="s">
        <v>168</v>
      </c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</row>
    <row r="53" spans="1:16">
      <c r="A53" s="131" t="s">
        <v>66</v>
      </c>
      <c r="B53" s="132"/>
      <c r="C53" s="114" t="s">
        <v>169</v>
      </c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</row>
    <row r="54" spans="1:16" ht="15" thickBot="1">
      <c r="A54" s="133" t="s">
        <v>2</v>
      </c>
      <c r="B54" s="134"/>
      <c r="C54" s="114" t="s">
        <v>170</v>
      </c>
      <c r="D54" s="114"/>
      <c r="E54" s="114"/>
      <c r="F54" s="114"/>
      <c r="G54" s="114"/>
      <c r="H54" s="114"/>
      <c r="I54" s="114"/>
      <c r="J54" s="114"/>
      <c r="K54" s="114"/>
      <c r="L54" s="114"/>
      <c r="M54" s="114"/>
      <c r="N54" s="114"/>
      <c r="O54" s="114"/>
      <c r="P54" s="114"/>
    </row>
    <row r="55" spans="1:16">
      <c r="A55" s="114"/>
      <c r="B55" s="114"/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</row>
    <row r="56" spans="1:16">
      <c r="A56" s="114"/>
      <c r="B56" s="114"/>
      <c r="C56" s="114"/>
      <c r="D56" s="114"/>
      <c r="E56" s="114"/>
      <c r="F56" s="114"/>
      <c r="G56" s="114"/>
      <c r="H56" s="114"/>
      <c r="I56" s="114"/>
      <c r="J56" s="114"/>
      <c r="K56" s="114"/>
      <c r="L56" s="114"/>
      <c r="M56" s="114"/>
      <c r="N56" s="114"/>
      <c r="O56" s="114"/>
      <c r="P56" s="114"/>
    </row>
    <row r="57" spans="1:16">
      <c r="A57" s="114"/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</row>
    <row r="58" spans="1:16">
      <c r="A58" s="114"/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</row>
  </sheetData>
  <sheetProtection password="DF1D" sheet="1" objects="1" scenarios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6"/>
  <sheetViews>
    <sheetView workbookViewId="0">
      <selection activeCell="F12" sqref="F12"/>
    </sheetView>
  </sheetViews>
  <sheetFormatPr baseColWidth="10" defaultColWidth="8.83203125" defaultRowHeight="14" x14ac:dyDescent="0"/>
  <cols>
    <col min="1" max="1" width="52" bestFit="1" customWidth="1"/>
    <col min="3" max="3" width="14" bestFit="1" customWidth="1"/>
    <col min="4" max="4" width="12.6640625" bestFit="1" customWidth="1"/>
    <col min="6" max="6" width="17.5" bestFit="1" customWidth="1"/>
    <col min="7" max="7" width="13.6640625" bestFit="1" customWidth="1"/>
    <col min="9" max="9" width="55.6640625" bestFit="1" customWidth="1"/>
    <col min="10" max="10" width="9.1640625" bestFit="1" customWidth="1"/>
    <col min="13" max="20" width="8.83203125" style="88"/>
  </cols>
  <sheetData>
    <row r="1" spans="1:12">
      <c r="A1" s="85"/>
      <c r="B1" s="86"/>
      <c r="C1" s="87"/>
      <c r="D1" s="86"/>
      <c r="E1" s="88"/>
      <c r="F1" s="87"/>
      <c r="G1" s="86"/>
      <c r="H1" s="88"/>
      <c r="I1" s="88"/>
      <c r="J1" s="88"/>
      <c r="K1" s="88"/>
      <c r="L1" s="88"/>
    </row>
    <row r="2" spans="1:12">
      <c r="A2" s="85"/>
      <c r="B2" s="89"/>
      <c r="C2" s="90"/>
      <c r="D2" s="89"/>
      <c r="E2" s="85"/>
      <c r="F2" s="90"/>
      <c r="G2" s="89"/>
      <c r="H2" s="88"/>
      <c r="I2" s="88"/>
      <c r="J2" s="88"/>
      <c r="K2" s="88"/>
      <c r="L2" s="88"/>
    </row>
    <row r="3" spans="1:12" ht="15" thickBot="1">
      <c r="A3" s="85"/>
      <c r="B3" s="89"/>
      <c r="C3" s="90"/>
      <c r="D3" s="89"/>
      <c r="E3" s="85"/>
      <c r="F3" s="90"/>
      <c r="G3" s="89"/>
      <c r="H3" s="88"/>
      <c r="I3" s="88"/>
      <c r="J3" s="88"/>
      <c r="K3" s="88"/>
      <c r="L3" s="88"/>
    </row>
    <row r="4" spans="1:12" ht="20" thickBot="1">
      <c r="A4" s="91" t="s">
        <v>0</v>
      </c>
      <c r="B4" s="92"/>
      <c r="C4" s="93" t="s">
        <v>45</v>
      </c>
      <c r="D4" s="92" t="s">
        <v>123</v>
      </c>
      <c r="E4" s="94"/>
      <c r="F4" s="93" t="s">
        <v>47</v>
      </c>
      <c r="G4" s="92" t="s">
        <v>48</v>
      </c>
      <c r="H4" s="88"/>
      <c r="I4" s="95" t="s">
        <v>52</v>
      </c>
      <c r="J4" s="96"/>
      <c r="K4" s="88"/>
      <c r="L4" s="88"/>
    </row>
    <row r="5" spans="1:12" ht="19">
      <c r="A5" s="97" t="s">
        <v>53</v>
      </c>
      <c r="B5" s="92"/>
      <c r="C5" s="148">
        <v>1</v>
      </c>
      <c r="D5" s="92"/>
      <c r="E5" s="94"/>
      <c r="F5" s="148">
        <v>1</v>
      </c>
      <c r="G5" s="92"/>
      <c r="H5" s="88"/>
      <c r="I5" s="98" t="s">
        <v>55</v>
      </c>
      <c r="J5" s="150">
        <v>0</v>
      </c>
      <c r="K5" s="88"/>
      <c r="L5" s="88"/>
    </row>
    <row r="6" spans="1:12" ht="19">
      <c r="A6" s="97" t="s">
        <v>56</v>
      </c>
      <c r="B6" s="92"/>
      <c r="C6" s="99">
        <v>0.16</v>
      </c>
      <c r="D6" s="92"/>
      <c r="E6" s="94"/>
      <c r="F6" s="100">
        <v>0.57999999999999996</v>
      </c>
      <c r="G6" s="92"/>
      <c r="H6" s="88"/>
      <c r="I6" s="98" t="s">
        <v>1</v>
      </c>
      <c r="J6" s="151">
        <v>0</v>
      </c>
      <c r="K6" s="88"/>
      <c r="L6" s="88"/>
    </row>
    <row r="7" spans="1:12" ht="19">
      <c r="A7" s="97" t="s">
        <v>58</v>
      </c>
      <c r="B7" s="92"/>
      <c r="C7" s="101">
        <f>C5*(1-C6)</f>
        <v>0.84</v>
      </c>
      <c r="D7" s="101"/>
      <c r="E7" s="101"/>
      <c r="F7" s="102">
        <f>F5*(1-F6)</f>
        <v>0.42000000000000004</v>
      </c>
      <c r="G7" s="92"/>
      <c r="H7" s="88"/>
      <c r="I7" s="98" t="s">
        <v>59</v>
      </c>
      <c r="J7" s="151">
        <v>0</v>
      </c>
      <c r="K7" s="88"/>
      <c r="L7" s="88"/>
    </row>
    <row r="8" spans="1:12" ht="19">
      <c r="A8" s="97" t="s">
        <v>60</v>
      </c>
      <c r="B8" s="92"/>
      <c r="C8" s="103">
        <f>D8*C7</f>
        <v>0</v>
      </c>
      <c r="D8" s="149">
        <v>0</v>
      </c>
      <c r="E8" s="94"/>
      <c r="F8" s="102">
        <f>G8*F7</f>
        <v>0</v>
      </c>
      <c r="G8" s="149">
        <v>0</v>
      </c>
      <c r="H8" s="88"/>
      <c r="I8" s="98" t="s">
        <v>61</v>
      </c>
      <c r="J8" s="104">
        <f>J7/15</f>
        <v>0</v>
      </c>
      <c r="K8" s="88"/>
      <c r="L8" s="88"/>
    </row>
    <row r="9" spans="1:12" ht="19">
      <c r="A9" s="97" t="s">
        <v>62</v>
      </c>
      <c r="B9" s="105">
        <v>0.12</v>
      </c>
      <c r="C9" s="103">
        <f>C8-C10</f>
        <v>0</v>
      </c>
      <c r="D9" s="103">
        <f>C9/$C$7</f>
        <v>0</v>
      </c>
      <c r="E9" s="94"/>
      <c r="F9" s="102">
        <f>F8-F10</f>
        <v>0</v>
      </c>
      <c r="G9" s="103">
        <f>F9/$F$7</f>
        <v>0</v>
      </c>
      <c r="H9" s="88"/>
      <c r="I9" s="98" t="s">
        <v>64</v>
      </c>
      <c r="J9" s="104">
        <f>(J6+J7)*4%</f>
        <v>0</v>
      </c>
      <c r="K9" s="88"/>
      <c r="L9" s="88"/>
    </row>
    <row r="10" spans="1:12" ht="19">
      <c r="A10" s="97" t="s">
        <v>65</v>
      </c>
      <c r="B10" s="92"/>
      <c r="C10" s="103">
        <f>C8/1.12</f>
        <v>0</v>
      </c>
      <c r="D10" s="103">
        <f>C10/$C$7</f>
        <v>0</v>
      </c>
      <c r="E10" s="94"/>
      <c r="F10" s="102">
        <f>F8/1.12</f>
        <v>0</v>
      </c>
      <c r="G10" s="103">
        <f>F10/$F$7</f>
        <v>0</v>
      </c>
      <c r="H10" s="88"/>
      <c r="I10" s="98" t="s">
        <v>124</v>
      </c>
      <c r="J10" s="104">
        <f>(J5+J6)/15</f>
        <v>0</v>
      </c>
      <c r="K10" s="88"/>
      <c r="L10" s="88"/>
    </row>
    <row r="11" spans="1:12" ht="20" thickBot="1">
      <c r="A11" s="97" t="s">
        <v>67</v>
      </c>
      <c r="B11" s="105">
        <v>0.35</v>
      </c>
      <c r="C11" s="103">
        <f>C10*0.35</f>
        <v>0</v>
      </c>
      <c r="D11" s="103">
        <f>C11/$C$7</f>
        <v>0</v>
      </c>
      <c r="E11" s="94"/>
      <c r="F11" s="102">
        <f>F10*0.35</f>
        <v>0</v>
      </c>
      <c r="G11" s="103">
        <f>F11/$F$7</f>
        <v>0</v>
      </c>
      <c r="H11" s="88"/>
      <c r="I11" s="106" t="s">
        <v>2</v>
      </c>
      <c r="J11" s="107">
        <f>SUM(J8:J10)</f>
        <v>0</v>
      </c>
      <c r="K11" s="88"/>
      <c r="L11" s="88"/>
    </row>
    <row r="12" spans="1:12" ht="19">
      <c r="A12" s="97" t="s">
        <v>125</v>
      </c>
      <c r="B12" s="92"/>
      <c r="C12" s="103">
        <f>C10-C11</f>
        <v>0</v>
      </c>
      <c r="D12" s="103">
        <f>C12/$C$7</f>
        <v>0</v>
      </c>
      <c r="E12" s="94"/>
      <c r="F12" s="102">
        <f>F10-F11</f>
        <v>0</v>
      </c>
      <c r="G12" s="103">
        <f>F12/$F$7</f>
        <v>0</v>
      </c>
      <c r="H12" s="88"/>
      <c r="I12" s="88"/>
      <c r="J12" s="88"/>
      <c r="K12" s="88"/>
      <c r="L12" s="88"/>
    </row>
    <row r="13" spans="1:12" ht="19">
      <c r="A13" s="97"/>
      <c r="B13" s="92"/>
      <c r="C13" s="93"/>
      <c r="D13" s="102"/>
      <c r="E13" s="94"/>
      <c r="F13" s="93"/>
      <c r="G13" s="102"/>
      <c r="H13" s="88"/>
      <c r="I13" s="88"/>
      <c r="J13" s="88"/>
      <c r="K13" s="88"/>
      <c r="L13" s="88"/>
    </row>
    <row r="14" spans="1:12" ht="19">
      <c r="A14" s="91" t="s">
        <v>3</v>
      </c>
      <c r="B14" s="92"/>
      <c r="C14" s="93" t="s">
        <v>4</v>
      </c>
      <c r="D14" s="92" t="s">
        <v>46</v>
      </c>
      <c r="E14" s="94"/>
      <c r="F14" s="93" t="s">
        <v>4</v>
      </c>
      <c r="G14" s="92" t="s">
        <v>46</v>
      </c>
      <c r="H14" s="88"/>
      <c r="I14" s="88"/>
      <c r="J14" s="88"/>
      <c r="K14" s="88"/>
      <c r="L14" s="88"/>
    </row>
    <row r="15" spans="1:12" ht="19">
      <c r="A15" s="97" t="s">
        <v>5</v>
      </c>
      <c r="B15" s="92"/>
      <c r="C15" s="152">
        <v>0</v>
      </c>
      <c r="D15" s="103">
        <f t="shared" ref="D15:D28" si="0">C15/$C$7</f>
        <v>0</v>
      </c>
      <c r="E15" s="94"/>
      <c r="F15" s="152">
        <v>0</v>
      </c>
      <c r="G15" s="103">
        <f t="shared" ref="G15:G28" si="1">F15/$F$7</f>
        <v>0</v>
      </c>
      <c r="H15" s="88"/>
      <c r="I15" s="88"/>
      <c r="J15" s="88"/>
      <c r="K15" s="88"/>
      <c r="L15" s="88"/>
    </row>
    <row r="16" spans="1:12" ht="19">
      <c r="A16" s="97" t="s">
        <v>102</v>
      </c>
      <c r="B16" s="92"/>
      <c r="C16" s="152">
        <v>0</v>
      </c>
      <c r="D16" s="103">
        <f t="shared" si="0"/>
        <v>0</v>
      </c>
      <c r="E16" s="94"/>
      <c r="F16" s="152">
        <v>0</v>
      </c>
      <c r="G16" s="103">
        <f t="shared" si="1"/>
        <v>0</v>
      </c>
      <c r="H16" s="88"/>
      <c r="I16" s="88"/>
      <c r="J16" s="88"/>
      <c r="K16" s="88"/>
      <c r="L16" s="88"/>
    </row>
    <row r="17" spans="1:12" ht="19">
      <c r="A17" s="97" t="s">
        <v>73</v>
      </c>
      <c r="B17" s="92"/>
      <c r="C17" s="152">
        <v>0</v>
      </c>
      <c r="D17" s="103">
        <f t="shared" si="0"/>
        <v>0</v>
      </c>
      <c r="E17" s="94"/>
      <c r="F17" s="152">
        <v>0</v>
      </c>
      <c r="G17" s="103">
        <f t="shared" si="1"/>
        <v>0</v>
      </c>
      <c r="H17" s="88"/>
      <c r="I17" s="88"/>
      <c r="J17" s="88"/>
      <c r="K17" s="88"/>
      <c r="L17" s="88"/>
    </row>
    <row r="18" spans="1:12" ht="19">
      <c r="A18" s="97" t="s">
        <v>126</v>
      </c>
      <c r="B18" s="92"/>
      <c r="C18" s="152">
        <v>0</v>
      </c>
      <c r="D18" s="103">
        <f>C18/$C$7</f>
        <v>0</v>
      </c>
      <c r="E18" s="94"/>
      <c r="F18" s="152">
        <v>0</v>
      </c>
      <c r="G18" s="103">
        <f t="shared" si="1"/>
        <v>0</v>
      </c>
      <c r="H18" s="88"/>
      <c r="I18" s="88"/>
      <c r="J18" s="88"/>
      <c r="K18" s="88"/>
      <c r="L18" s="88"/>
    </row>
    <row r="19" spans="1:12" ht="19">
      <c r="A19" s="97" t="s">
        <v>77</v>
      </c>
      <c r="B19" s="92"/>
      <c r="C19" s="152">
        <v>0</v>
      </c>
      <c r="D19" s="103">
        <f t="shared" si="0"/>
        <v>0</v>
      </c>
      <c r="E19" s="94"/>
      <c r="F19" s="152">
        <v>0</v>
      </c>
      <c r="G19" s="103">
        <f t="shared" si="1"/>
        <v>0</v>
      </c>
      <c r="H19" s="88"/>
      <c r="I19" s="88"/>
      <c r="J19" s="88"/>
      <c r="K19" s="88"/>
      <c r="L19" s="88"/>
    </row>
    <row r="20" spans="1:12" ht="19">
      <c r="A20" s="97" t="s">
        <v>6</v>
      </c>
      <c r="B20" s="92"/>
      <c r="C20" s="152">
        <v>0</v>
      </c>
      <c r="D20" s="103">
        <f t="shared" si="0"/>
        <v>0</v>
      </c>
      <c r="E20" s="94"/>
      <c r="F20" s="152">
        <v>0</v>
      </c>
      <c r="G20" s="103">
        <f t="shared" si="1"/>
        <v>0</v>
      </c>
      <c r="H20" s="88"/>
      <c r="I20" s="88"/>
      <c r="J20" s="88"/>
      <c r="K20" s="88"/>
      <c r="L20" s="88"/>
    </row>
    <row r="21" spans="1:12" ht="19">
      <c r="A21" s="97" t="s">
        <v>82</v>
      </c>
      <c r="B21" s="92"/>
      <c r="C21" s="152">
        <v>0</v>
      </c>
      <c r="D21" s="103">
        <f t="shared" si="0"/>
        <v>0</v>
      </c>
      <c r="E21" s="94"/>
      <c r="F21" s="152">
        <v>0</v>
      </c>
      <c r="G21" s="103">
        <f t="shared" si="1"/>
        <v>0</v>
      </c>
      <c r="H21" s="88"/>
      <c r="I21" s="88"/>
      <c r="J21" s="88"/>
      <c r="K21" s="88"/>
      <c r="L21" s="88"/>
    </row>
    <row r="22" spans="1:12" ht="19">
      <c r="A22" s="97" t="s">
        <v>84</v>
      </c>
      <c r="B22" s="92"/>
      <c r="C22" s="152">
        <v>0</v>
      </c>
      <c r="D22" s="103">
        <f t="shared" si="0"/>
        <v>0</v>
      </c>
      <c r="E22" s="94"/>
      <c r="F22" s="152">
        <v>0</v>
      </c>
      <c r="G22" s="103">
        <f t="shared" si="1"/>
        <v>0</v>
      </c>
      <c r="H22" s="88"/>
      <c r="I22" s="88"/>
      <c r="J22" s="88"/>
      <c r="K22" s="88"/>
      <c r="L22" s="88"/>
    </row>
    <row r="23" spans="1:12" ht="19">
      <c r="A23" s="97" t="s">
        <v>7</v>
      </c>
      <c r="B23" s="92"/>
      <c r="C23" s="152">
        <v>0</v>
      </c>
      <c r="D23" s="103">
        <f t="shared" si="0"/>
        <v>0</v>
      </c>
      <c r="E23" s="94"/>
      <c r="F23" s="152">
        <v>0</v>
      </c>
      <c r="G23" s="103">
        <f t="shared" si="1"/>
        <v>0</v>
      </c>
      <c r="H23" s="88"/>
      <c r="I23" s="88"/>
      <c r="J23" s="88"/>
      <c r="K23" s="88"/>
      <c r="L23" s="88"/>
    </row>
    <row r="24" spans="1:12" ht="19">
      <c r="A24" s="97" t="s">
        <v>87</v>
      </c>
      <c r="B24" s="92"/>
      <c r="C24" s="152">
        <v>0</v>
      </c>
      <c r="D24" s="103">
        <f t="shared" si="0"/>
        <v>0</v>
      </c>
      <c r="E24" s="94"/>
      <c r="F24" s="152">
        <v>0</v>
      </c>
      <c r="G24" s="103">
        <f t="shared" si="1"/>
        <v>0</v>
      </c>
      <c r="H24" s="88"/>
      <c r="I24" s="88"/>
      <c r="J24" s="88"/>
      <c r="K24" s="88"/>
      <c r="L24" s="88"/>
    </row>
    <row r="25" spans="1:12" ht="19">
      <c r="A25" s="97" t="s">
        <v>89</v>
      </c>
      <c r="B25" s="92"/>
      <c r="C25" s="152">
        <v>0</v>
      </c>
      <c r="D25" s="103">
        <f t="shared" si="0"/>
        <v>0</v>
      </c>
      <c r="E25" s="94"/>
      <c r="F25" s="152">
        <v>0</v>
      </c>
      <c r="G25" s="103">
        <f t="shared" si="1"/>
        <v>0</v>
      </c>
      <c r="H25" s="88"/>
      <c r="I25" s="88"/>
      <c r="J25" s="88"/>
      <c r="K25" s="88"/>
      <c r="L25" s="88"/>
    </row>
    <row r="26" spans="1:12" ht="19">
      <c r="A26" s="97" t="s">
        <v>91</v>
      </c>
      <c r="B26" s="92"/>
      <c r="C26" s="152">
        <v>0</v>
      </c>
      <c r="D26" s="103">
        <f t="shared" si="0"/>
        <v>0</v>
      </c>
      <c r="E26" s="94"/>
      <c r="F26" s="152">
        <v>0</v>
      </c>
      <c r="G26" s="103">
        <f t="shared" si="1"/>
        <v>0</v>
      </c>
      <c r="H26" s="88"/>
      <c r="I26" s="88"/>
      <c r="J26" s="88"/>
      <c r="K26" s="88"/>
      <c r="L26" s="88"/>
    </row>
    <row r="27" spans="1:12" ht="19">
      <c r="A27" s="97" t="s">
        <v>93</v>
      </c>
      <c r="B27" s="92"/>
      <c r="C27" s="152">
        <v>0</v>
      </c>
      <c r="D27" s="103">
        <f t="shared" si="0"/>
        <v>0</v>
      </c>
      <c r="E27" s="92"/>
      <c r="F27" s="152">
        <v>0</v>
      </c>
      <c r="G27" s="103">
        <f t="shared" si="1"/>
        <v>0</v>
      </c>
      <c r="H27" s="88"/>
      <c r="I27" s="88"/>
      <c r="J27" s="88"/>
      <c r="K27" s="88"/>
      <c r="L27" s="88"/>
    </row>
    <row r="28" spans="1:12" ht="19">
      <c r="A28" s="97" t="s">
        <v>8</v>
      </c>
      <c r="B28" s="92"/>
      <c r="C28" s="152">
        <v>0</v>
      </c>
      <c r="D28" s="103">
        <f t="shared" si="0"/>
        <v>0</v>
      </c>
      <c r="E28" s="94"/>
      <c r="F28" s="152">
        <v>0</v>
      </c>
      <c r="G28" s="103">
        <f t="shared" si="1"/>
        <v>0</v>
      </c>
      <c r="H28" s="88"/>
      <c r="I28" s="88"/>
      <c r="J28" s="88"/>
      <c r="K28" s="88"/>
      <c r="L28" s="88"/>
    </row>
    <row r="29" spans="1:12" ht="19">
      <c r="A29" s="108" t="s">
        <v>97</v>
      </c>
      <c r="B29" s="92"/>
      <c r="C29" s="109"/>
      <c r="D29" s="103">
        <f t="shared" ref="D29:G29" si="2">SUM(D15:D28)</f>
        <v>0</v>
      </c>
      <c r="E29" s="109"/>
      <c r="F29" s="109">
        <f>SUM(F15:F28)</f>
        <v>0</v>
      </c>
      <c r="G29" s="103">
        <f t="shared" si="2"/>
        <v>0</v>
      </c>
      <c r="H29" s="88"/>
      <c r="I29" s="88"/>
      <c r="J29" s="88"/>
      <c r="K29" s="88"/>
      <c r="L29" s="88"/>
    </row>
    <row r="30" spans="1:12" ht="19">
      <c r="A30" s="94" t="s">
        <v>9</v>
      </c>
      <c r="B30" s="92"/>
      <c r="C30" s="153">
        <v>0</v>
      </c>
      <c r="D30" s="103">
        <f t="shared" ref="D30:G30" si="3">(0.1*D29)-0.1*(D17+D18+D19)</f>
        <v>0</v>
      </c>
      <c r="E30" s="109"/>
      <c r="F30" s="109">
        <f>(0.1*F29)-0.1*(F17+F18+F19)</f>
        <v>0</v>
      </c>
      <c r="G30" s="103">
        <f t="shared" si="3"/>
        <v>0</v>
      </c>
      <c r="H30" s="88"/>
      <c r="I30" s="88"/>
      <c r="J30" s="88"/>
      <c r="K30" s="88"/>
      <c r="L30" s="88"/>
    </row>
    <row r="31" spans="1:12" ht="19">
      <c r="A31" s="91" t="s">
        <v>2</v>
      </c>
      <c r="B31" s="92"/>
      <c r="C31" s="109">
        <f>SUM(C29:C30)</f>
        <v>0</v>
      </c>
      <c r="D31" s="103">
        <f>SUM(D29:D30)</f>
        <v>0</v>
      </c>
      <c r="E31" s="109"/>
      <c r="F31" s="109">
        <f>SUM(F29:F30)</f>
        <v>0</v>
      </c>
      <c r="G31" s="103">
        <f>SUM(G29:G30)</f>
        <v>0</v>
      </c>
      <c r="H31" s="88"/>
      <c r="I31" s="88"/>
      <c r="J31" s="88"/>
      <c r="K31" s="88"/>
      <c r="L31" s="88"/>
    </row>
    <row r="32" spans="1:12" ht="19">
      <c r="A32" s="97"/>
      <c r="B32" s="92"/>
      <c r="C32" s="109"/>
      <c r="D32" s="103"/>
      <c r="E32" s="94"/>
      <c r="F32" s="109"/>
      <c r="G32" s="103"/>
      <c r="H32" s="88"/>
      <c r="I32" s="88"/>
      <c r="J32" s="88"/>
      <c r="K32" s="88"/>
      <c r="L32" s="88"/>
    </row>
    <row r="33" spans="1:12" ht="19">
      <c r="A33" s="91" t="s">
        <v>11</v>
      </c>
      <c r="B33" s="92"/>
      <c r="C33" s="109">
        <f>C12-C31</f>
        <v>0</v>
      </c>
      <c r="D33" s="103">
        <f>D12-D31</f>
        <v>0</v>
      </c>
      <c r="E33" s="94"/>
      <c r="F33" s="109">
        <f>F12-F31</f>
        <v>0</v>
      </c>
      <c r="G33" s="103">
        <f>F33/F7</f>
        <v>0</v>
      </c>
      <c r="H33" s="88"/>
      <c r="I33" s="88"/>
      <c r="J33" s="88"/>
      <c r="K33" s="88"/>
      <c r="L33" s="88"/>
    </row>
    <row r="34" spans="1:12" ht="19">
      <c r="A34" s="97"/>
      <c r="B34" s="92"/>
      <c r="C34" s="93"/>
      <c r="D34" s="110"/>
      <c r="E34" s="94"/>
      <c r="F34" s="93"/>
      <c r="G34" s="110"/>
      <c r="H34" s="88"/>
      <c r="I34" s="88"/>
      <c r="J34" s="88"/>
      <c r="K34" s="88"/>
      <c r="L34" s="88"/>
    </row>
    <row r="35" spans="1:12" ht="19">
      <c r="A35" s="91" t="s">
        <v>178</v>
      </c>
      <c r="B35" s="92"/>
      <c r="C35" s="111"/>
      <c r="D35" s="103">
        <f>(D31/0.65)*1.12</f>
        <v>0</v>
      </c>
      <c r="E35" s="102"/>
      <c r="F35" s="111"/>
      <c r="G35" s="103">
        <f>(G31/0.7)*1.12</f>
        <v>0</v>
      </c>
      <c r="H35" s="88"/>
      <c r="I35" s="88"/>
      <c r="J35" s="88"/>
      <c r="K35" s="88"/>
      <c r="L35" s="88"/>
    </row>
    <row r="36" spans="1:12" ht="19">
      <c r="A36" s="94"/>
      <c r="B36" s="94"/>
      <c r="C36" s="94"/>
      <c r="D36" s="94"/>
      <c r="E36" s="94"/>
      <c r="F36" s="94"/>
      <c r="G36" s="94"/>
      <c r="H36" s="88"/>
      <c r="I36" s="88"/>
      <c r="J36" s="88"/>
      <c r="K36" s="88"/>
      <c r="L36" s="88"/>
    </row>
  </sheetData>
  <sheetProtection password="DF1D" sheet="1" objects="1" scenarios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Tilapia Akvaponi</vt:lpstr>
      <vt:lpstr>Clarias Akvaponi</vt:lpstr>
      <vt:lpstr>RFKL Regnbåge</vt:lpstr>
      <vt:lpstr>RFKL Clarias</vt:lpstr>
      <vt:lpstr>RFKL Tilapia</vt:lpstr>
      <vt:lpstr>RFKL Förklaring</vt:lpstr>
      <vt:lpstr>RFKL Gör-det-själv</vt:lpstr>
    </vt:vector>
  </TitlesOfParts>
  <Company>Organization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Kimberly Berglöf</dc:creator>
  <cp:lastModifiedBy>Jason Bailey</cp:lastModifiedBy>
  <dcterms:created xsi:type="dcterms:W3CDTF">2018-11-14T15:30:24Z</dcterms:created>
  <dcterms:modified xsi:type="dcterms:W3CDTF">2019-02-22T10:00:35Z</dcterms:modified>
</cp:coreProperties>
</file>